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F:\PUC\CPUC Hub\Residential EE Loan (REEL) Assistance Program\Forms\"/>
    </mc:Choice>
  </mc:AlternateContent>
  <xr:revisionPtr revIDLastSave="0" documentId="13_ncr:1_{38F71A2F-A79E-4907-B4B4-4308F9D87F32}" xr6:coauthVersionLast="47" xr6:coauthVersionMax="47" xr10:uidLastSave="{00000000-0000-0000-0000-000000000000}"/>
  <workbookProtection workbookAlgorithmName="SHA-512" workbookHashValue="utEmm9F9Ry9T75ryT4jgYdkrkEb8aHWvLN4kht7rH5lGeHwPHKQQP2DJSOtAmTlFfLAJoh+qk3rb43iyz34DqQ==" workbookSaltValue="JAYn3t+EFw9ddlnZYDxBUA==" workbookSpinCount="100000" lockStructure="1"/>
  <bookViews>
    <workbookView xWindow="-28920" yWindow="-120" windowWidth="29040" windowHeight="15840" activeTab="1" xr2:uid="{B3429CDF-8224-4442-BF98-BB04B2DFB771}"/>
  </bookViews>
  <sheets>
    <sheet name="Instructions &amp; EEMs list" sheetId="9" r:id="rId1"/>
    <sheet name="Itemized Invoice" sheetId="2" r:id="rId2"/>
    <sheet name="Lender's Entry Screen" sheetId="1" r:id="rId3"/>
    <sheet name="Funding Memo" sheetId="5" state="hidden" r:id="rId4"/>
    <sheet name="MS worksheet" sheetId="3" state="hidden" r:id="rId5"/>
    <sheet name="Value Lists and Assumptions" sheetId="4" state="hidden" r:id="rId6"/>
  </sheets>
  <definedNames>
    <definedName name="_START">'Itemized Invoice'!$E$8,'Itemized Invoice'!$I$7,'Itemized Invoice'!$I$8,'Itemized Invoice'!$I$9,'Itemized Invoice'!$I$11,'Itemized Invoice'!$E$7</definedName>
    <definedName name="AP">EEMs_Categories_AP[AP]</definedName>
    <definedName name="BE">EEMs_Categories_BE[BE]</definedName>
    <definedName name="Big_4_IOUs_VL">Big_4_IOUs[Big 4 IOUs]</definedName>
    <definedName name="Borrower_Awareness_VL">Borrower_Awareness[How Borrower Became Aware]</definedName>
    <definedName name="Borrower_is_LMI">'MS worksheet'!$J$14</definedName>
    <definedName name="Borrower_Motivation_VL">Borrower_Motivation[Borrower Motivation]</definedName>
    <definedName name="Building_Type_VL">Building_Type[Building Type]</definedName>
    <definedName name="CE">EEMs_Categories_CE[CE]</definedName>
    <definedName name="CEC_YES_NO">'Lender''s Entry Screen'!$CH$6</definedName>
    <definedName name="CHEEF_Loan_ID">'Lender''s Entry Screen'!$CD$6</definedName>
    <definedName name="Claim_Eligible_Principal_Amount">'Lender''s Entry Screen'!$W$6</definedName>
    <definedName name="Claim_Eligible_Ratio">'Lender''s Entry Screen'!$BE$6</definedName>
    <definedName name="Contractor_Company">'Lender''s Entry Screen'!$AM$6</definedName>
    <definedName name="Contractor_Type_Entry">'Lender''s Entry Screen'!$AO$6</definedName>
    <definedName name="Contractor_Type_VL">Contractor_Type[Contractor Type]</definedName>
    <definedName name="Cost_Ratio_CEC">'MS worksheet'!$S$40</definedName>
    <definedName name="Cost_Ratio_Electric">'MS worksheet'!$G$40</definedName>
    <definedName name="Cost_Ratio_Gas">'MS worksheet'!$H$40</definedName>
    <definedName name="Cost_Ratio_IOU">'MS worksheet'!$I$40</definedName>
    <definedName name="Cost_Ratio_NonIOU_Electric">'MS worksheet'!$J$40</definedName>
    <definedName name="Cost_Ratio_NonIOU_Gas">'MS worksheet'!$K$40</definedName>
    <definedName name="Cost_Ratio_Palo_Alto">'MS worksheet'!$T$40</definedName>
    <definedName name="Cost_Ratio_POU_Electric">'MS worksheet'!$L$40</definedName>
    <definedName name="Cost_Ratio_POU_Gas">'MS worksheet'!$N$40</definedName>
    <definedName name="Cost_Ratio_PPP">'MS worksheet'!$P$40</definedName>
    <definedName name="Cost_Ratio_SmIOU_Electric">'MS worksheet'!$M$40</definedName>
    <definedName name="Cost_Ratio_SmIOU_Gas">'MS worksheet'!$O$40</definedName>
    <definedName name="Cost_Ratio_TECH">'MS worksheet'!$Q$40</definedName>
    <definedName name="Cost_ratio_TECH_Bridge">'MS worksheet'!$R$40</definedName>
    <definedName name="CSLB_License_Number">'Lender''s Entry Screen'!$AN$6</definedName>
    <definedName name="DR">EEMs_Categories_DR[DR]</definedName>
    <definedName name="DTI_VL">DTI[Debt to Income]</definedName>
    <definedName name="EEEMs_Category_VL">EEEMs_Category[EEMs Categories]</definedName>
    <definedName name="EEMs_Cost_1">'Itemized Invoice'!$K$14</definedName>
    <definedName name="EEMs_Cost_10">'Itemized Invoice'!$K$23</definedName>
    <definedName name="EEMs_Cost_2">'Itemized Invoice'!$K$15</definedName>
    <definedName name="EEMs_Cost_3">'Itemized Invoice'!$K$16</definedName>
    <definedName name="EEMs_Cost_4">'Itemized Invoice'!$K$17</definedName>
    <definedName name="EEMs_Cost_5">'Itemized Invoice'!$K$18</definedName>
    <definedName name="EEMs_Cost_6">'Itemized Invoice'!$K$19</definedName>
    <definedName name="EEMs_Cost_7">'Itemized Invoice'!$K$20</definedName>
    <definedName name="EEMs_Cost_8">'Itemized Invoice'!$K$21</definedName>
    <definedName name="EEMs_Cost_9">'Itemized Invoice'!$K$22</definedName>
    <definedName name="EEMs_Fuel_Switch_1">'Itemized Invoice'!$O$14</definedName>
    <definedName name="EEMs_Fuel_Switch_10">'Itemized Invoice'!$O$23</definedName>
    <definedName name="EEMs_Fuel_Switch_2">'Itemized Invoice'!$O$15</definedName>
    <definedName name="EEMs_Fuel_Switch_3">'Itemized Invoice'!$O$16</definedName>
    <definedName name="EEMs_Fuel_Switch_4">'Itemized Invoice'!$O$17</definedName>
    <definedName name="EEMs_Fuel_Switch_5">'Itemized Invoice'!$O$18</definedName>
    <definedName name="EEMs_Fuel_Switch_6">'Itemized Invoice'!$O$19</definedName>
    <definedName name="EEMs_Fuel_Switch_7">'Itemized Invoice'!$O$20</definedName>
    <definedName name="EEMs_Fuel_Switch_8">'Itemized Invoice'!$O$21</definedName>
    <definedName name="EEMs_Fuel_Switch_9">'Itemized Invoice'!$O$22</definedName>
    <definedName name="EEMs_ID_1">'Itemized Invoice'!$R$14</definedName>
    <definedName name="EEMs_ID_10">'Itemized Invoice'!$R$23</definedName>
    <definedName name="EEMs_ID_2">'Itemized Invoice'!$R$15</definedName>
    <definedName name="EEMs_ID_3">'Itemized Invoice'!$R$16</definedName>
    <definedName name="EEMs_ID_4">'Itemized Invoice'!$R$17</definedName>
    <definedName name="EEMs_ID_5">'Itemized Invoice'!$R$18</definedName>
    <definedName name="EEMs_ID_6">'Itemized Invoice'!$R$19</definedName>
    <definedName name="EEMs_ID_7">'Itemized Invoice'!$R$20</definedName>
    <definedName name="EEMs_ID_8">'Itemized Invoice'!$R$21</definedName>
    <definedName name="EEMs_ID_9">'Itemized Invoice'!$R$22</definedName>
    <definedName name="EEMs_Measure_1">'Itemized Invoice'!$E$14</definedName>
    <definedName name="EEMs_Measure_10">'Itemized Invoice'!$E$23</definedName>
    <definedName name="EEMs_Measure_2">'Itemized Invoice'!$E$15</definedName>
    <definedName name="EEMs_Measure_3">'Itemized Invoice'!$E$16</definedName>
    <definedName name="EEMs_Measure_4">'Itemized Invoice'!$E$17</definedName>
    <definedName name="EEMs_Measure_5">'Itemized Invoice'!$E$18</definedName>
    <definedName name="EEMs_Measure_6">'Itemized Invoice'!$E$19</definedName>
    <definedName name="EEMs_Measure_7">'Itemized Invoice'!$E$20</definedName>
    <definedName name="EEMs_Measure_8">'Itemized Invoice'!$E$21</definedName>
    <definedName name="EEMs_Measure_9">'Itemized Invoice'!$E$22</definedName>
    <definedName name="EEMs_Measure_Code_1">'Itemized Invoice'!$D$14</definedName>
    <definedName name="EEMs_Measure_Code_10">'Itemized Invoice'!$D$23</definedName>
    <definedName name="EEMs_Measure_Code_2">'Itemized Invoice'!$D$15</definedName>
    <definedName name="EEMs_Measure_Code_3">'Itemized Invoice'!$D$16</definedName>
    <definedName name="EEMs_Measure_Code_4">'Itemized Invoice'!$D$17</definedName>
    <definedName name="EEMs_Measure_Code_5">'Itemized Invoice'!$D$18</definedName>
    <definedName name="EEMs_Measure_Code_6">'Itemized Invoice'!$D$19</definedName>
    <definedName name="EEMs_Measure_Code_7">'Itemized Invoice'!$D$20</definedName>
    <definedName name="EEMs_Measure_Code_8">'Itemized Invoice'!$D$21</definedName>
    <definedName name="EEMs_Measure_Code_9">'Itemized Invoice'!$D$22</definedName>
    <definedName name="EEMs_Measure_Type_1">'Itemized Invoice'!$B$14</definedName>
    <definedName name="EEMs_Measure_Type_10">'Itemized Invoice'!$B$23</definedName>
    <definedName name="EEMs_Measure_Type_2">'Itemized Invoice'!$B$15</definedName>
    <definedName name="EEMs_Measure_Type_3">'Itemized Invoice'!$B$16</definedName>
    <definedName name="EEMs_Measure_Type_4">'Itemized Invoice'!$B$17</definedName>
    <definedName name="EEMs_Measure_Type_5">'Itemized Invoice'!$B$18</definedName>
    <definedName name="EEMs_Measure_Type_6">'Itemized Invoice'!$B$19</definedName>
    <definedName name="EEMs_Measure_Type_7">'Itemized Invoice'!$B$20</definedName>
    <definedName name="EEMs_Measure_Type_8">'Itemized Invoice'!$B$21</definedName>
    <definedName name="EEMs_Measure_Type_9">'Itemized Invoice'!$B$22</definedName>
    <definedName name="EEMs_Quantity_1">'Itemized Invoice'!$J$14</definedName>
    <definedName name="EEMs_Quantity_10">'Itemized Invoice'!$J$23</definedName>
    <definedName name="EEMs_Quantity_2">'Itemized Invoice'!$J$15</definedName>
    <definedName name="EEMs_Quantity_3">'Itemized Invoice'!$J$16</definedName>
    <definedName name="EEMs_Quantity_4">'Itemized Invoice'!$J$17</definedName>
    <definedName name="EEMs_Quantity_5">'Itemized Invoice'!$J$18</definedName>
    <definedName name="EEMs_Quantity_6">'Itemized Invoice'!$J$19</definedName>
    <definedName name="EEMs_Quantity_7">'Itemized Invoice'!$J$20</definedName>
    <definedName name="EEMs_Quantity_8">'Itemized Invoice'!$J$21</definedName>
    <definedName name="EEMs_Quantity_9">'Itemized Invoice'!$J$22</definedName>
    <definedName name="EEMs_Replacement_1">'Itemized Invoice'!$M$14</definedName>
    <definedName name="EEMs_Replacement_2">'Itemized Invoice'!$M$15</definedName>
    <definedName name="EEMs_Replacement_3">'Itemized Invoice'!$M$16</definedName>
    <definedName name="EEMs_Replacement_4">'Itemized Invoice'!$M$17</definedName>
    <definedName name="EEMs_Replacement_5">'Itemized Invoice'!$M$18</definedName>
    <definedName name="EEMs_Replacement_6">'Itemized Invoice'!$M$19</definedName>
    <definedName name="EEMs_Replacement_7">'Itemized Invoice'!$M$20</definedName>
    <definedName name="EEMs_Replacement_8">'Itemized Invoice'!$M$21</definedName>
    <definedName name="Electric_Utility_Name">'Lender''s Entry Screen'!$AE$6</definedName>
    <definedName name="Electric_Utility_Type">'Lender''s Entry Screen'!$AF$6</definedName>
    <definedName name="ERD">'Lender''s Entry Screen'!$CE$6</definedName>
    <definedName name="Existing_Solar_Yes_No">'Itemized Invoice'!$M$29</definedName>
    <definedName name="FICO_Range_VL">FICO_Range[FICO Range]</definedName>
    <definedName name="Fixed_Variable_VL">Fixed_Variable[[Fixed or Variable ]]</definedName>
    <definedName name="Gas_Utility_Name">'Lender''s Entry Screen'!$AH$6</definedName>
    <definedName name="Gas_Utility_Type">'Lender''s Entry Screen'!$AI$6</definedName>
    <definedName name="HV">EEMs_Categories_HV[HV]</definedName>
    <definedName name="Invoice_Contractor_CSLB">'Itemized Invoice'!$E$8</definedName>
    <definedName name="Invoice_Contractor_Name">'Itemized Invoice'!$E$7</definedName>
    <definedName name="Invoice_Legal_Practical_Cost">'Itemized Invoice'!$K$25</definedName>
    <definedName name="Invoice_Legal_Practical_Description">'Itemized Invoice'!$B$25</definedName>
    <definedName name="Invoice_Other_Home_Improvement_NonDG_Cost">'Itemized Invoice'!$K$32</definedName>
    <definedName name="Invoice_Other_Home_Improvement_NonDG_Desc">'Itemized Invoice'!$B$32</definedName>
    <definedName name="Invoice_Total_Cost">'Itemized Invoice'!$K$34</definedName>
    <definedName name="Invoice_Total_Cost_EEMs_and_Directly_Related">'Itemized Invoice'!$K$26</definedName>
    <definedName name="Invoie_Other_Home_Improvement_NonDG_Desc">'Itemized Invoice'!$B$32</definedName>
    <definedName name="IOU_Electric_VL">IOU_Electric[Electric Utility Name]</definedName>
    <definedName name="IOU_Gas_VL">IOU_Gas[Gas Utility Name]</definedName>
    <definedName name="Legal_Practical_Cost">'Itemized Invoice'!$K$25</definedName>
    <definedName name="Legal_Practical_Description">'Itemized Invoice'!$B$25</definedName>
    <definedName name="Lender_Accounts_Names">Lender_Accounts[Lender Name]</definedName>
    <definedName name="Lender_Accounts_Numbers">Lender_Accounts[Lender Account Number]</definedName>
    <definedName name="Lender_Internal_Loan_ID">'Lender''s Entry Screen'!$D$6</definedName>
    <definedName name="Lender_Program_ID">'Lender''s Entry Screen'!$B$6</definedName>
    <definedName name="Lender_Program_IDs_VL">Lender_Accounts[Lender ID]</definedName>
    <definedName name="LI">EEMs_Categories_LI[LI]</definedName>
    <definedName name="LLR_11_Percent">'Value Lists and Assumptions'!$C$41</definedName>
    <definedName name="LLR_20_Percent">'Value Lists and Assumptions'!$C$40</definedName>
    <definedName name="LLR_5_percent">'Value Lists and Assumptions'!$C$45</definedName>
    <definedName name="LLR_Basis">'MS worksheet'!$J$16</definedName>
    <definedName name="LLR_CEC_Amount">'MS worksheet'!$J$21</definedName>
    <definedName name="LLR_Contribution_Amount">'MS worksheet'!$J$17</definedName>
    <definedName name="LLR_Percent">'MS worksheet'!$J$15</definedName>
    <definedName name="LLR_PPP_Amount">'MS worksheet'!$J$18</definedName>
    <definedName name="LLR_TECH_Amount">'MS worksheet'!$J$19</definedName>
    <definedName name="LLR_TECH_Bridge_Amt">'MS worksheet'!$J$20</definedName>
    <definedName name="Loan_Term">'Lender''s Entry Screen'!$Q$6</definedName>
    <definedName name="Loan_Type_VL">Loan_Type[Loan Type]</definedName>
    <definedName name="Measure_Fuel_VL">Measure_Fuel[Measure Fuel]</definedName>
    <definedName name="Measures_All_VL">Measures_All[All Valid Measures]</definedName>
    <definedName name="Number_Units_VL">Number_Units['# of Units]</definedName>
    <definedName name="Occupancy_VL">Occupancy[Property Occupancy]</definedName>
    <definedName name="OLE_LINK1" localSheetId="3">'Funding Memo'!$K$34</definedName>
    <definedName name="Original_loan_Amt">'Lender''s Entry Screen'!$V$6</definedName>
    <definedName name="OT">EEMs_Categories_OT[OT]</definedName>
    <definedName name="Other_Home_Improvement_NonDG_Desc">'Itemized Invoice'!$B$32</definedName>
    <definedName name="Palo_Alto_Launch_Date">'Value Lists and Assumptions'!$C$5</definedName>
    <definedName name="Palo_Alto_LRC_Amount">'MS worksheet'!$J$22</definedName>
    <definedName name="POUs_VL">POUs[POUs]</definedName>
    <definedName name="PP">EEMs_Categories_PP[PP]</definedName>
    <definedName name="_xlnm.Print_Area" localSheetId="3">'Funding Memo'!$A$1:$K$68</definedName>
    <definedName name="_xlnm.Print_Area" localSheetId="1">'Itemized Invoice'!$A$1:$K$36</definedName>
    <definedName name="Program_ID_Number">'Lender''s Entry Screen'!$CA$6</definedName>
    <definedName name="Project_Address_1">'Itemized Invoice'!$I$7</definedName>
    <definedName name="Project_Address_2">'Itemized Invoice'!$I$8</definedName>
    <definedName name="Project_City">'Itemized Invoice'!$I$9</definedName>
    <definedName name="Project_State">'Lender''s Entry Screen'!$CC$6</definedName>
    <definedName name="Project_ZIP">'Itemized Invoice'!$I$11</definedName>
    <definedName name="Rebate_Sought">'Lender''s Entry Screen'!$AP$6</definedName>
    <definedName name="REEL_Program_Account">'Value Lists and Assumptions'!$AH$2</definedName>
    <definedName name="Replacement_New_VL">Replacement_New[Replacement or New]</definedName>
    <definedName name="Required_EEMs_Percent_VL">'Value Lists and Assumptions'!$M$6</definedName>
    <definedName name="Secured_Unsecured_VL">Secured_Unsecured[Secured or Unsecured]</definedName>
    <definedName name="Small_IOUs_VL">Small_IOUs[Small IOUs]</definedName>
    <definedName name="TECH_Launch_Date">'Value Lists and Assumptions'!$C$4</definedName>
    <definedName name="TECH_Yes_No">'Lender''s Entry Screen'!$CF$6</definedName>
    <definedName name="Time_In_Home_VL">Time_In_Home[Borrower time in home]</definedName>
    <definedName name="Total_Cost_EEMs_and_Directly_Related">'Lender''s Entry Screen'!$BB$6</definedName>
    <definedName name="Total_Cost_Legal_Practical">'Lender''s Entry Screen'!$BA$6</definedName>
    <definedName name="Total_Cost_Other_Home_Improvement_NonDG">'Lender''s Entry Screen'!$BC$6</definedName>
    <definedName name="Total_Invoice_Cost">'Itemized Invoice'!$K$34</definedName>
    <definedName name="Total_Loan_Principal_Amount">'Lender''s Entry Screen'!$V$6</definedName>
    <definedName name="Total_Project_Cost">'Lender''s Entry Screen'!$BD$6</definedName>
    <definedName name="TR">EEMs_Categories_TR[TR]</definedName>
    <definedName name="Underserved_Entry">'Lender''s Entry Screen'!$Z$6</definedName>
    <definedName name="Underserved_VL">Underserved[Borrower underserved]</definedName>
    <definedName name="Utility_Providing_Rebate_VL">Utility_Providing_Rebate[Utility Providing Rebate]</definedName>
    <definedName name="Utility_Type_Electric_VL">Utility_Type_Electric[Electric Utility Type]</definedName>
    <definedName name="Utility_Type_Gas_VL">Utility_Type_Gas[Gas Utility Type]</definedName>
    <definedName name="WH">EEMs_Categories_WH[WH]</definedName>
    <definedName name="Yes_No_VL">Yes_No[Yes/No]</definedName>
    <definedName name="Yes_NR_VL">Yes_NR[Yes/Not Required]</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1" l="1"/>
  <c r="B40" i="5"/>
  <c r="K26" i="2" l="1"/>
  <c r="K34" i="2" l="1"/>
  <c r="S30" i="3" l="1"/>
  <c r="S31" i="3"/>
  <c r="S33" i="3"/>
  <c r="S34" i="3"/>
  <c r="S35" i="3"/>
  <c r="S36" i="3"/>
  <c r="S37" i="3"/>
  <c r="S38" i="3"/>
  <c r="M29" i="2" l="1"/>
  <c r="M34" i="2"/>
  <c r="R7" i="4" l="1"/>
  <c r="S7" i="4"/>
  <c r="J7" i="3"/>
  <c r="J6" i="3" l="1"/>
  <c r="AF6" i="1" l="1" a="1"/>
  <c r="AF6" i="1" s="1"/>
  <c r="AI6" i="1" a="1"/>
  <c r="AI6" i="1" s="1"/>
  <c r="AM6" i="1"/>
  <c r="AN6" i="1"/>
  <c r="R121" i="4" l="1"/>
  <c r="S121" i="4"/>
  <c r="R120" i="4"/>
  <c r="S120" i="4"/>
  <c r="R119" i="4"/>
  <c r="S119" i="4"/>
  <c r="R118" i="4"/>
  <c r="S118" i="4"/>
  <c r="R117" i="4"/>
  <c r="S117" i="4"/>
  <c r="B21" i="5" l="1"/>
  <c r="D63" i="5" l="1"/>
  <c r="D62" i="5"/>
  <c r="BL6" i="1" l="1"/>
  <c r="R56" i="4"/>
  <c r="S56" i="4"/>
  <c r="R22" i="2" l="1"/>
  <c r="C37" i="3" s="1"/>
  <c r="R23" i="2"/>
  <c r="C38" i="3" s="1"/>
  <c r="O23" i="2"/>
  <c r="O22" i="2"/>
  <c r="D38" i="3" l="1"/>
  <c r="F38" i="3" s="1"/>
  <c r="M38" i="3" s="1"/>
  <c r="E38" i="3"/>
  <c r="D37" i="3"/>
  <c r="F37" i="3" s="1"/>
  <c r="O37" i="3" s="1"/>
  <c r="E37" i="3"/>
  <c r="R14" i="2"/>
  <c r="H38" i="3" l="1"/>
  <c r="K38" i="3" s="1"/>
  <c r="O38" i="3"/>
  <c r="H37" i="3"/>
  <c r="N38" i="3"/>
  <c r="L37" i="3"/>
  <c r="N37" i="3"/>
  <c r="G37" i="3"/>
  <c r="M37" i="3"/>
  <c r="G38" i="3"/>
  <c r="I38" i="3"/>
  <c r="P37" i="3"/>
  <c r="Q37" i="3"/>
  <c r="T37" i="3"/>
  <c r="R37" i="3"/>
  <c r="P38" i="3"/>
  <c r="Q38" i="3"/>
  <c r="R38" i="3"/>
  <c r="T38" i="3"/>
  <c r="J38" i="3"/>
  <c r="K37" i="3"/>
  <c r="I37" i="3"/>
  <c r="J37" i="3"/>
  <c r="L38" i="3"/>
  <c r="J21" i="5"/>
  <c r="R15" i="2" l="1"/>
  <c r="R16" i="2"/>
  <c r="R17" i="2"/>
  <c r="R18" i="2"/>
  <c r="R19" i="2"/>
  <c r="D56" i="5"/>
  <c r="D57" i="5" s="1"/>
  <c r="G25" i="3"/>
  <c r="G24" i="3"/>
  <c r="E29" i="5" l="1"/>
  <c r="E28" i="5"/>
  <c r="D25" i="3" l="1"/>
  <c r="R21" i="2"/>
  <c r="C36" i="3" s="1"/>
  <c r="E36" i="3" s="1"/>
  <c r="R20" i="2"/>
  <c r="D24" i="3"/>
  <c r="AW6" i="1" l="1"/>
  <c r="AZ6" i="1"/>
  <c r="AX6" i="1"/>
  <c r="AV6" i="1"/>
  <c r="R33" i="4"/>
  <c r="R34" i="4"/>
  <c r="S33" i="4"/>
  <c r="S34" i="4"/>
  <c r="R31" i="4"/>
  <c r="S31" i="4"/>
  <c r="S2" i="4" l="1"/>
  <c r="S3" i="4"/>
  <c r="S4" i="4"/>
  <c r="S5" i="4"/>
  <c r="S6" i="4"/>
  <c r="S8" i="4"/>
  <c r="S9" i="4"/>
  <c r="S10" i="4"/>
  <c r="S11" i="4"/>
  <c r="S12" i="4"/>
  <c r="S13" i="4"/>
  <c r="S14" i="4"/>
  <c r="S15" i="4"/>
  <c r="S16" i="4"/>
  <c r="S17" i="4"/>
  <c r="S18" i="4"/>
  <c r="S19" i="4"/>
  <c r="S20" i="4"/>
  <c r="S21" i="4"/>
  <c r="S22" i="4"/>
  <c r="S23" i="4"/>
  <c r="S24" i="4"/>
  <c r="S25" i="4"/>
  <c r="S26" i="4"/>
  <c r="S27" i="4"/>
  <c r="S28" i="4"/>
  <c r="S29" i="4"/>
  <c r="S30" i="4"/>
  <c r="S32" i="4"/>
  <c r="S35" i="4"/>
  <c r="S36" i="4"/>
  <c r="S37" i="4"/>
  <c r="S38" i="4"/>
  <c r="S39" i="4"/>
  <c r="S40" i="4"/>
  <c r="S41" i="4"/>
  <c r="S42" i="4"/>
  <c r="S43" i="4"/>
  <c r="S44" i="4"/>
  <c r="S45" i="4"/>
  <c r="S46" i="4"/>
  <c r="S47" i="4"/>
  <c r="S48" i="4"/>
  <c r="S49" i="4"/>
  <c r="S50" i="4"/>
  <c r="S51" i="4"/>
  <c r="S52" i="4"/>
  <c r="S53" i="4"/>
  <c r="S54" i="4"/>
  <c r="S55"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R2" i="4"/>
  <c r="R3" i="4"/>
  <c r="R4" i="4"/>
  <c r="R5" i="4"/>
  <c r="R6" i="4"/>
  <c r="R8" i="4"/>
  <c r="R9" i="4"/>
  <c r="R10" i="4"/>
  <c r="R11" i="4"/>
  <c r="R12" i="4"/>
  <c r="R13" i="4"/>
  <c r="R14" i="4"/>
  <c r="R15" i="4"/>
  <c r="R16" i="4"/>
  <c r="R17" i="4"/>
  <c r="R18" i="4"/>
  <c r="R19" i="4"/>
  <c r="R20" i="4"/>
  <c r="R21" i="4"/>
  <c r="R22" i="4"/>
  <c r="R23" i="4"/>
  <c r="R24" i="4"/>
  <c r="R25" i="4"/>
  <c r="R26" i="4"/>
  <c r="R27" i="4"/>
  <c r="R28" i="4"/>
  <c r="R29" i="4"/>
  <c r="R30" i="4"/>
  <c r="R32" i="4"/>
  <c r="R35" i="4"/>
  <c r="R36" i="4"/>
  <c r="R37" i="4"/>
  <c r="R38" i="4"/>
  <c r="R39" i="4"/>
  <c r="R40" i="4"/>
  <c r="R41" i="4"/>
  <c r="R42" i="4"/>
  <c r="R43" i="4"/>
  <c r="R44" i="4"/>
  <c r="R45" i="4"/>
  <c r="R46" i="4"/>
  <c r="R47" i="4"/>
  <c r="R48" i="4"/>
  <c r="R49" i="4"/>
  <c r="R50" i="4"/>
  <c r="R51" i="4"/>
  <c r="R52" i="4"/>
  <c r="R53" i="4"/>
  <c r="R54" i="4"/>
  <c r="R55"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O15" i="2" l="1"/>
  <c r="O16" i="2"/>
  <c r="O17" i="2"/>
  <c r="O18" i="2"/>
  <c r="O19" i="2"/>
  <c r="O20" i="2"/>
  <c r="O21" i="2"/>
  <c r="O14" i="2"/>
  <c r="AY6" i="1" s="1"/>
  <c r="L6" i="1" l="1"/>
  <c r="BC6" i="1" l="1"/>
  <c r="BA6" i="1"/>
  <c r="E24" i="5" l="1"/>
  <c r="E21" i="5" l="1"/>
  <c r="G21" i="5"/>
  <c r="E26" i="5"/>
  <c r="E27" i="5"/>
  <c r="J14" i="3"/>
  <c r="J15" i="3" l="1"/>
  <c r="J26" i="5" l="1"/>
  <c r="BF6" i="1"/>
  <c r="BB6" i="1"/>
  <c r="AU6" i="1"/>
  <c r="J9" i="3" l="1"/>
  <c r="I10" i="2"/>
  <c r="K3" i="2"/>
  <c r="J10" i="3" l="1"/>
  <c r="K1" i="2"/>
  <c r="K6" i="1" l="1"/>
  <c r="J6" i="1"/>
  <c r="I6" i="1"/>
  <c r="K2" i="2" l="1"/>
  <c r="J24" i="5" l="1"/>
  <c r="C35" i="3" l="1"/>
  <c r="D36" i="3"/>
  <c r="F36" i="3" s="1"/>
  <c r="P36" i="3" l="1"/>
  <c r="Q36" i="3"/>
  <c r="R36" i="3"/>
  <c r="T36" i="3"/>
  <c r="D35" i="3"/>
  <c r="F35" i="3" s="1"/>
  <c r="O35" i="3" s="1"/>
  <c r="E35" i="3"/>
  <c r="M36" i="3"/>
  <c r="O36" i="3"/>
  <c r="N36" i="3"/>
  <c r="L36" i="3"/>
  <c r="J36" i="3"/>
  <c r="I36" i="3"/>
  <c r="K36" i="3"/>
  <c r="G36" i="3"/>
  <c r="H36" i="3"/>
  <c r="BD6" i="1"/>
  <c r="C30" i="3"/>
  <c r="E30" i="3" s="1"/>
  <c r="C31" i="3"/>
  <c r="E31" i="3" s="1"/>
  <c r="C32" i="3"/>
  <c r="C33" i="3"/>
  <c r="E33" i="3" s="1"/>
  <c r="C34" i="3"/>
  <c r="E34" i="3" s="1"/>
  <c r="C29" i="3"/>
  <c r="E29" i="3" s="1"/>
  <c r="N35" i="3" l="1"/>
  <c r="P35" i="3"/>
  <c r="T35" i="3"/>
  <c r="Q35" i="3"/>
  <c r="R35" i="3"/>
  <c r="M35" i="3"/>
  <c r="G35" i="3"/>
  <c r="H35" i="3"/>
  <c r="L35" i="3"/>
  <c r="I35" i="3"/>
  <c r="K35" i="3"/>
  <c r="J35" i="3"/>
  <c r="D32" i="3"/>
  <c r="F32" i="3" s="1"/>
  <c r="E32" i="3"/>
  <c r="D30" i="3"/>
  <c r="F30" i="3" s="1"/>
  <c r="D29" i="3"/>
  <c r="F29" i="3" s="1"/>
  <c r="R29" i="3" s="1"/>
  <c r="D31" i="3"/>
  <c r="F31" i="3" s="1"/>
  <c r="D33" i="3"/>
  <c r="F33" i="3" s="1"/>
  <c r="D34" i="3"/>
  <c r="F34" i="3" s="1"/>
  <c r="J3" i="3"/>
  <c r="J11" i="3" s="1"/>
  <c r="J16" i="3" s="1"/>
  <c r="J17" i="3" s="1"/>
  <c r="P34" i="3" l="1"/>
  <c r="Q34" i="3"/>
  <c r="R34" i="3"/>
  <c r="T34" i="3"/>
  <c r="P33" i="3"/>
  <c r="R33" i="3"/>
  <c r="T33" i="3"/>
  <c r="Q33" i="3"/>
  <c r="P31" i="3"/>
  <c r="R31" i="3"/>
  <c r="Q31" i="3"/>
  <c r="T31" i="3"/>
  <c r="P30" i="3"/>
  <c r="R30" i="3"/>
  <c r="T30" i="3"/>
  <c r="Q30" i="3"/>
  <c r="Q29" i="3"/>
  <c r="P29" i="3"/>
  <c r="S29" i="3"/>
  <c r="T29" i="3"/>
  <c r="R32" i="3"/>
  <c r="Q32" i="3"/>
  <c r="G32" i="3"/>
  <c r="L32" i="3" s="1"/>
  <c r="S32" i="3"/>
  <c r="P32" i="3"/>
  <c r="T32" i="3"/>
  <c r="M32" i="3"/>
  <c r="O32" i="3"/>
  <c r="H32" i="3"/>
  <c r="K32" i="3" s="1"/>
  <c r="O34" i="3"/>
  <c r="M34" i="3"/>
  <c r="N34" i="3"/>
  <c r="J34" i="3"/>
  <c r="I34" i="3"/>
  <c r="L34" i="3"/>
  <c r="K34" i="3"/>
  <c r="O33" i="3"/>
  <c r="M33" i="3"/>
  <c r="N33" i="3"/>
  <c r="I33" i="3"/>
  <c r="J33" i="3"/>
  <c r="K33" i="3"/>
  <c r="L33" i="3"/>
  <c r="N31" i="3"/>
  <c r="O31" i="3"/>
  <c r="M31" i="3"/>
  <c r="K31" i="3"/>
  <c r="O29" i="3"/>
  <c r="M29" i="3"/>
  <c r="O30" i="3"/>
  <c r="M30" i="3"/>
  <c r="N32" i="3"/>
  <c r="G29" i="3"/>
  <c r="H29" i="3"/>
  <c r="N29" i="3" s="1"/>
  <c r="H33" i="3"/>
  <c r="G33" i="3"/>
  <c r="G30" i="3"/>
  <c r="H30" i="3"/>
  <c r="K30" i="3" s="1"/>
  <c r="H31" i="3"/>
  <c r="G31" i="3"/>
  <c r="G34" i="3"/>
  <c r="H34" i="3"/>
  <c r="F40" i="3"/>
  <c r="J32" i="3" l="1"/>
  <c r="P40" i="3"/>
  <c r="J18" i="3" s="1"/>
  <c r="J31" i="3"/>
  <c r="J30" i="3"/>
  <c r="J29" i="3"/>
  <c r="I32" i="3"/>
  <c r="I31" i="3"/>
  <c r="I29" i="3"/>
  <c r="K29" i="3"/>
  <c r="K40" i="3" s="1"/>
  <c r="BV6" i="1" s="1"/>
  <c r="L29" i="3"/>
  <c r="I30" i="3"/>
  <c r="L30" i="3"/>
  <c r="L31" i="3"/>
  <c r="N30" i="3"/>
  <c r="N40" i="3" s="1"/>
  <c r="BY6" i="1" s="1"/>
  <c r="T40" i="3"/>
  <c r="J22" i="3" s="1"/>
  <c r="M40" i="3"/>
  <c r="H40" i="3"/>
  <c r="G40" i="3" s="1"/>
  <c r="BR6" i="1" s="1"/>
  <c r="O40" i="3"/>
  <c r="J40" i="3" l="1"/>
  <c r="BU6" i="1" s="1"/>
  <c r="S40" i="3"/>
  <c r="J21" i="3"/>
  <c r="R40" i="3"/>
  <c r="Q40" i="3"/>
  <c r="B44" i="5"/>
  <c r="G44" i="5"/>
  <c r="J44" i="5"/>
  <c r="G36" i="5"/>
  <c r="J36" i="5" s="1"/>
  <c r="I40" i="3"/>
  <c r="BT6" i="1" s="1"/>
  <c r="L40" i="3"/>
  <c r="BW6" i="1" s="1"/>
  <c r="BH6" i="1"/>
  <c r="H32" i="5"/>
  <c r="BS6" i="1"/>
  <c r="BX6" i="1"/>
  <c r="BZ6" i="1"/>
  <c r="B36" i="5"/>
  <c r="H28" i="5"/>
  <c r="E42" i="5" l="1"/>
  <c r="J42" i="5"/>
  <c r="BJ6" i="1"/>
  <c r="G40" i="5"/>
  <c r="J40" i="5" s="1"/>
  <c r="H31" i="5" a="1"/>
  <c r="H31" i="5" s="1"/>
  <c r="G42" i="5"/>
  <c r="BK6" i="1"/>
  <c r="J31" i="5"/>
  <c r="BP6" i="1"/>
  <c r="H30" i="5"/>
  <c r="J20" i="3"/>
  <c r="E40" i="5" s="1"/>
  <c r="J19" i="3"/>
  <c r="G38" i="5"/>
  <c r="E44" i="5"/>
  <c r="H29" i="5"/>
  <c r="BI6" i="1"/>
  <c r="BG6" i="1"/>
  <c r="BQ6" i="1" s="1"/>
  <c r="BE6" i="1"/>
  <c r="J25" i="5"/>
  <c r="J27" i="5"/>
  <c r="B38" i="5"/>
  <c r="J38" i="5" l="1"/>
  <c r="BO6" i="1"/>
  <c r="J30" i="5"/>
  <c r="J32" i="5"/>
  <c r="E38" i="5"/>
  <c r="BM6" i="1"/>
  <c r="E36" i="5"/>
  <c r="J28" i="5"/>
  <c r="BN6" i="1" l="1"/>
  <c r="J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tc={43FBA148-33A6-4DD9-A54B-953E041A0BC7}</author>
  </authors>
  <commentList>
    <comment ref="J11" authorId="0" shapeId="0" xr:uid="{43FBA148-33A6-4DD9-A54B-953E041A0BC7}">
      <text>
        <t>[Threaded comment]
Your version of Excel allows you to read this threaded comment; however, any edits to it will get removed if the file is opened in a newer version of Excel. Learn more: https://go.microsoft.com/fwlink/?linkid=870924
Comment:
    Edited formula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<sst xmlns="http://schemas.openxmlformats.org/spreadsheetml/2006/main" count="1762" uniqueCount="920">
  <si>
    <t xml:space="preserve">   Enter on Lender's Entry Screen</t>
  </si>
  <si>
    <t xml:space="preserve">PFI/PFL Program Participation ID # </t>
  </si>
  <si>
    <t>PFI/PFL's Internal Loan ID #</t>
  </si>
  <si>
    <t>Program ID #</t>
  </si>
  <si>
    <t>1. Contractor and Project Information</t>
  </si>
  <si>
    <t>Contractor Company:</t>
  </si>
  <si>
    <t>Project Street Address:</t>
  </si>
  <si>
    <t>Complete/Estimate Value</t>
  </si>
  <si>
    <t>CSLB License Number:</t>
  </si>
  <si>
    <t>(line 2):</t>
  </si>
  <si>
    <t>Project City:</t>
  </si>
  <si>
    <t>Project State:</t>
  </si>
  <si>
    <t>Project ZIP Code:</t>
  </si>
  <si>
    <t>Fuel switch field value</t>
  </si>
  <si>
    <t>BE</t>
  </si>
  <si>
    <t>-</t>
  </si>
  <si>
    <t>ROOF</t>
  </si>
  <si>
    <t>Select:
[Yes] or [No]</t>
  </si>
  <si>
    <t>LI</t>
  </si>
  <si>
    <t>LEDL</t>
  </si>
  <si>
    <t>AP</t>
  </si>
  <si>
    <t>INSW</t>
  </si>
  <si>
    <t>HV</t>
  </si>
  <si>
    <t>WH</t>
  </si>
  <si>
    <t>HP55</t>
  </si>
  <si>
    <t>No</t>
  </si>
  <si>
    <t>4. Other Home Improvement Projects</t>
  </si>
  <si>
    <t>5. Total Project Cost</t>
  </si>
  <si>
    <t xml:space="preserve">LOAN ENROLLMENT APPLICATION  </t>
  </si>
  <si>
    <t>Lender Information</t>
  </si>
  <si>
    <t>Borrower Information</t>
  </si>
  <si>
    <t>Project Address</t>
  </si>
  <si>
    <t>Loan Terms</t>
  </si>
  <si>
    <t>Loan Amount</t>
  </si>
  <si>
    <t>Underwriting and Underserved Information</t>
  </si>
  <si>
    <t>Property Information</t>
  </si>
  <si>
    <t>Voluntary Information (from Borrower Form)</t>
  </si>
  <si>
    <t>Certificate(s) of Completion (hidden)</t>
  </si>
  <si>
    <t>Itemized Invoice (hidden)</t>
  </si>
  <si>
    <t>Field Name
(mapped to NASU)</t>
  </si>
  <si>
    <t>Lender's Program Participation ID#</t>
  </si>
  <si>
    <t>Loan Officer Name</t>
  </si>
  <si>
    <t>Lender's Internal Loan Identification Number</t>
  </si>
  <si>
    <t>Borrower
First Name</t>
  </si>
  <si>
    <t>Borrower
Last Name</t>
  </si>
  <si>
    <t>Borrower 
Email Address</t>
  </si>
  <si>
    <t>Borrower 
Phone Number</t>
  </si>
  <si>
    <r>
      <t xml:space="preserve">Project Address 
(line 2; apt. or unit)
</t>
    </r>
    <r>
      <rPr>
        <sz val="11"/>
        <rFont val="Calibri"/>
        <family val="2"/>
      </rPr>
      <t>(if necessary)</t>
    </r>
  </si>
  <si>
    <t>Project Address City</t>
  </si>
  <si>
    <t>Project Address 
ZIP Code</t>
  </si>
  <si>
    <t>Loan Type</t>
  </si>
  <si>
    <t>Date Interest Rate Finalized</t>
  </si>
  <si>
    <r>
      <t xml:space="preserve">Origination Date
</t>
    </r>
    <r>
      <rPr>
        <sz val="11"/>
        <rFont val="Calibri"/>
        <family val="2"/>
      </rPr>
      <t>(Funding Date)</t>
    </r>
  </si>
  <si>
    <t>Maturity Date</t>
  </si>
  <si>
    <t>Term</t>
  </si>
  <si>
    <t>Interest Rate</t>
  </si>
  <si>
    <t>Fixed or Variable Rate?</t>
  </si>
  <si>
    <t>Is Borrower enrolled in Autopay?</t>
  </si>
  <si>
    <t>Total Loan 
Principal Amount</t>
  </si>
  <si>
    <t>Claim-Eligible 
Principal Amount</t>
  </si>
  <si>
    <t>Census Tract ID 
for Project Address</t>
  </si>
  <si>
    <t>Borrower 
FICO Range</t>
  </si>
  <si>
    <t>Underserved Borrower?</t>
  </si>
  <si>
    <t>Was bill payment history used in underwriting?</t>
  </si>
  <si>
    <t>Borrower
Debt-to-Income Ratio (DTI)</t>
  </si>
  <si>
    <t>Borrower Relationship to Property</t>
  </si>
  <si>
    <t>Electric Utility 
Name</t>
  </si>
  <si>
    <t>Electric Utility Type</t>
  </si>
  <si>
    <r>
      <t xml:space="preserve">Electric Utility 
Account Number
</t>
    </r>
    <r>
      <rPr>
        <sz val="11"/>
        <rFont val="Calibri"/>
        <family val="2"/>
      </rPr>
      <t>(if applicable)</t>
    </r>
  </si>
  <si>
    <t>Gas Utility 
Name</t>
  </si>
  <si>
    <t>Gas Utility Type</t>
  </si>
  <si>
    <r>
      <t xml:space="preserve">Gas Utility 
Account Number
</t>
    </r>
    <r>
      <rPr>
        <sz val="11"/>
        <rFont val="Calibri"/>
        <family val="2"/>
      </rPr>
      <t>(if applicable)</t>
    </r>
  </si>
  <si>
    <t>Borrower motivation for installing the project</t>
  </si>
  <si>
    <t>Participating Contractor 
Company Name</t>
  </si>
  <si>
    <t>Participating Contractor 
CSLB #</t>
  </si>
  <si>
    <t>Contractor Type</t>
  </si>
  <si>
    <t>Participating Contractor or Borrower seeking a rebate or incentive?</t>
  </si>
  <si>
    <r>
      <t xml:space="preserve">Name of Utility providing rebate or incentive 
</t>
    </r>
    <r>
      <rPr>
        <sz val="11"/>
        <rFont val="Calibri"/>
        <family val="2"/>
      </rPr>
      <t>(if applicable)</t>
    </r>
  </si>
  <si>
    <r>
      <t xml:space="preserve">Rebate or Incentive 
Program Name
</t>
    </r>
    <r>
      <rPr>
        <sz val="11"/>
        <rFont val="Calibri"/>
        <family val="2"/>
      </rPr>
      <t>(if applicable)</t>
    </r>
  </si>
  <si>
    <r>
      <t xml:space="preserve">Rebate or Incentive
Project ID
</t>
    </r>
    <r>
      <rPr>
        <sz val="11"/>
        <rFont val="Calibri"/>
        <family val="2"/>
      </rPr>
      <t>(if applicable)</t>
    </r>
  </si>
  <si>
    <t>Installation Date/Contractor Signature Completion Date</t>
  </si>
  <si>
    <t>Cost of improvements
legally/practically required to complete the project</t>
  </si>
  <si>
    <t>Cost of 
Additional Related Home Improvements</t>
  </si>
  <si>
    <t>Total Project Cost</t>
  </si>
  <si>
    <t>Claim Eligible Principal as Percentage of Total Loan</t>
  </si>
  <si>
    <t>Loss Reserve Contribution %</t>
  </si>
  <si>
    <t>Loss Reserve Contribution Amount</t>
  </si>
  <si>
    <t>Program ID</t>
  </si>
  <si>
    <t>Building Type</t>
  </si>
  <si>
    <t>Project Address State</t>
  </si>
  <si>
    <t>CHEEF Loan ID</t>
  </si>
  <si>
    <t>Enrollment Request Received Date (ERD)</t>
  </si>
  <si>
    <t>Project Notes</t>
  </si>
  <si>
    <t>Field Description / 
Value List</t>
  </si>
  <si>
    <t>Lender's 3-digit ID provided by the Master Servicer after originally enrolling in the program</t>
  </si>
  <si>
    <t>Name of Loan Officer submitting this loan to the program</t>
  </si>
  <si>
    <t>The number or ID that the Lender uses to identify the loan</t>
  </si>
  <si>
    <r>
      <t>Email address format   "</t>
    </r>
    <r>
      <rPr>
        <b/>
        <sz val="11"/>
        <rFont val="Calibri"/>
        <family val="2"/>
      </rPr>
      <t>email@domain.com</t>
    </r>
    <r>
      <rPr>
        <sz val="11"/>
        <rFont val="Calibri"/>
        <family val="2"/>
      </rPr>
      <t>"</t>
    </r>
  </si>
  <si>
    <r>
      <t>Phone number format
"(</t>
    </r>
    <r>
      <rPr>
        <b/>
        <sz val="11"/>
        <rFont val="Calibri"/>
        <family val="2"/>
      </rPr>
      <t>###) ###-####</t>
    </r>
    <r>
      <rPr>
        <sz val="11"/>
        <rFont val="Calibri"/>
        <family val="2"/>
      </rPr>
      <t>"</t>
    </r>
  </si>
  <si>
    <t>Street address where the project was installed</t>
  </si>
  <si>
    <t>Line 2 of street address where the project was installed, if necessary</t>
  </si>
  <si>
    <t>City where the project was installed</t>
  </si>
  <si>
    <r>
      <t xml:space="preserve">ZIP code of address where the project was installed
</t>
    </r>
    <r>
      <rPr>
        <b/>
        <sz val="11"/>
        <rFont val="Calibri"/>
        <family val="2"/>
        <scheme val="minor"/>
      </rPr>
      <t>Enter only first 5 digits</t>
    </r>
  </si>
  <si>
    <r>
      <rPr>
        <b/>
        <sz val="11"/>
        <rFont val="Calibri"/>
        <family val="2"/>
      </rPr>
      <t xml:space="preserve">SELECT OPTION:
</t>
    </r>
    <r>
      <rPr>
        <sz val="11"/>
        <rFont val="Calibri"/>
        <family val="2"/>
      </rPr>
      <t xml:space="preserve">
Term Loan
Retail Installment Contract
Lease
Lease with Service Agreement</t>
    </r>
  </si>
  <si>
    <r>
      <t xml:space="preserve">Date the final interest rate was formally locked in for the borrower. This is usually the date the Lender pre-approves the loan, and always prior to or the same as the origination date
</t>
    </r>
    <r>
      <rPr>
        <b/>
        <sz val="11"/>
        <rFont val="Calibri"/>
        <family val="2"/>
      </rPr>
      <t>Date format
"mm/dd/yyyy"</t>
    </r>
  </si>
  <si>
    <r>
      <t xml:space="preserve">Date the loan was formally originated. This is usually the date the loan was funded
</t>
    </r>
    <r>
      <rPr>
        <b/>
        <sz val="11"/>
        <rFont val="Calibri"/>
        <family val="2"/>
      </rPr>
      <t>Date format
"mm/dd/yyyy"</t>
    </r>
  </si>
  <si>
    <r>
      <t xml:space="preserve">Date the loan is expected to be fully paid off
</t>
    </r>
    <r>
      <rPr>
        <b/>
        <sz val="11"/>
        <rFont val="Calibri"/>
        <family val="2"/>
      </rPr>
      <t>Date format
"mm/dd/yyyy"</t>
    </r>
  </si>
  <si>
    <t>Term of the loan in months</t>
  </si>
  <si>
    <r>
      <t xml:space="preserve">Interest rate at the time the rate is finalized between Lender and borrower
</t>
    </r>
    <r>
      <rPr>
        <b/>
        <sz val="11"/>
        <rFont val="Calibri"/>
        <family val="2"/>
      </rPr>
      <t>Enter the numerical percent 
(e.g., enter 5.9% as "5.9")</t>
    </r>
  </si>
  <si>
    <r>
      <rPr>
        <b/>
        <sz val="11"/>
        <rFont val="Calibri"/>
        <family val="2"/>
      </rPr>
      <t xml:space="preserve">SELECT OPTION:
</t>
    </r>
    <r>
      <rPr>
        <sz val="11"/>
        <rFont val="Calibri"/>
        <family val="2"/>
      </rPr>
      <t xml:space="preserve">
Fixed
Variable</t>
    </r>
  </si>
  <si>
    <r>
      <rPr>
        <b/>
        <sz val="11"/>
        <rFont val="Calibri"/>
        <family val="2"/>
      </rPr>
      <t xml:space="preserve">SELECT OPTION:
</t>
    </r>
    <r>
      <rPr>
        <sz val="11"/>
        <rFont val="Calibri"/>
        <family val="2"/>
      </rPr>
      <t xml:space="preserve">
Yes
No</t>
    </r>
  </si>
  <si>
    <t>Total amount loaned to borrower including claim-eligible and non-eligible amounts</t>
  </si>
  <si>
    <r>
      <t xml:space="preserve">SELECT OPTION:
</t>
    </r>
    <r>
      <rPr>
        <sz val="11"/>
        <rFont val="Calibri"/>
        <family val="2"/>
      </rPr>
      <t xml:space="preserve">
No FICO
580-640
641-700
701-760
761-820
821+</t>
    </r>
  </si>
  <si>
    <r>
      <t xml:space="preserve">SELECT OPTION:
</t>
    </r>
    <r>
      <rPr>
        <sz val="11"/>
        <rFont val="Calibri"/>
        <family val="2"/>
      </rPr>
      <t xml:space="preserve">
Yes
No</t>
    </r>
  </si>
  <si>
    <r>
      <t xml:space="preserve">SELECT OPTION:
</t>
    </r>
    <r>
      <rPr>
        <sz val="11"/>
        <rFont val="Calibri"/>
        <family val="2"/>
      </rPr>
      <t xml:space="preserve">
Under 25%
25-35%
36-45%
46-55%</t>
    </r>
  </si>
  <si>
    <r>
      <t xml:space="preserve">SELECT OPTION:
</t>
    </r>
    <r>
      <rPr>
        <sz val="11"/>
        <rFont val="Calibri"/>
        <family val="2"/>
      </rPr>
      <t xml:space="preserve">
1
2
3
4</t>
    </r>
  </si>
  <si>
    <r>
      <t xml:space="preserve">Customer's electric utility account number (NOT the meter # or SAID)
</t>
    </r>
    <r>
      <rPr>
        <b/>
        <sz val="11"/>
        <rFont val="Calibri"/>
        <family val="2"/>
      </rPr>
      <t xml:space="preserve">
</t>
    </r>
    <r>
      <rPr>
        <b/>
        <u/>
        <sz val="11"/>
        <rFont val="Calibri"/>
        <family val="2"/>
      </rPr>
      <t>SCE</t>
    </r>
    <r>
      <rPr>
        <sz val="11"/>
        <rFont val="Calibri"/>
        <family val="2"/>
      </rPr>
      <t xml:space="preserve">: Enter entire 12-digit number that starts with a "7"
</t>
    </r>
    <r>
      <rPr>
        <b/>
        <u/>
        <sz val="11"/>
        <rFont val="Calibri"/>
        <family val="2"/>
      </rPr>
      <t>SDG&amp;E</t>
    </r>
    <r>
      <rPr>
        <sz val="11"/>
        <rFont val="Calibri"/>
        <family val="2"/>
      </rPr>
      <t xml:space="preserve">: Enter entire 12-digit number, including any leading zeros
</t>
    </r>
    <r>
      <rPr>
        <b/>
        <u/>
        <sz val="11"/>
        <rFont val="Calibri"/>
        <family val="2"/>
      </rPr>
      <t>PG&amp;E</t>
    </r>
    <r>
      <rPr>
        <sz val="11"/>
        <rFont val="Calibri"/>
        <family val="2"/>
      </rPr>
      <t xml:space="preserve">: Enter only first 10 digits
(Other utilities will vary in length)
</t>
    </r>
    <r>
      <rPr>
        <b/>
        <sz val="11"/>
        <rFont val="Calibri"/>
        <family val="2"/>
      </rPr>
      <t xml:space="preserve">
Enter without hyphens or spaces, and </t>
    </r>
    <r>
      <rPr>
        <b/>
        <u/>
        <sz val="11"/>
        <rFont val="Calibri"/>
        <family val="2"/>
      </rPr>
      <t>include any leading zeros</t>
    </r>
  </si>
  <si>
    <r>
      <t xml:space="preserve">Customer's gas utility account number (NOT the meter # or SAID)
</t>
    </r>
    <r>
      <rPr>
        <b/>
        <sz val="11"/>
        <rFont val="Calibri"/>
        <family val="2"/>
      </rPr>
      <t xml:space="preserve">
</t>
    </r>
    <r>
      <rPr>
        <b/>
        <u/>
        <sz val="11"/>
        <rFont val="Calibri"/>
        <family val="2"/>
      </rPr>
      <t>SCG</t>
    </r>
    <r>
      <rPr>
        <sz val="11"/>
        <rFont val="Calibri"/>
        <family val="2"/>
      </rPr>
      <t xml:space="preserve">: Enter only first 10 digits, including any leading zeros
</t>
    </r>
    <r>
      <rPr>
        <b/>
        <u/>
        <sz val="11"/>
        <rFont val="Calibri"/>
        <family val="2"/>
      </rPr>
      <t>SDG&amp;E</t>
    </r>
    <r>
      <rPr>
        <sz val="11"/>
        <rFont val="Calibri"/>
        <family val="2"/>
      </rPr>
      <t xml:space="preserve">: Enter entire 12-digit number, including any leading zeros
</t>
    </r>
    <r>
      <rPr>
        <b/>
        <u/>
        <sz val="11"/>
        <rFont val="Calibri"/>
        <family val="2"/>
      </rPr>
      <t>PG&amp;E</t>
    </r>
    <r>
      <rPr>
        <sz val="11"/>
        <rFont val="Calibri"/>
        <family val="2"/>
      </rPr>
      <t xml:space="preserve">: Enter only first 10 digits
(Other utilities will vary in length)
</t>
    </r>
    <r>
      <rPr>
        <b/>
        <sz val="11"/>
        <rFont val="Calibri"/>
        <family val="2"/>
      </rPr>
      <t xml:space="preserve">
Enter without hyphens or spaces, and </t>
    </r>
    <r>
      <rPr>
        <b/>
        <u/>
        <sz val="11"/>
        <rFont val="Calibri"/>
        <family val="2"/>
      </rPr>
      <t>include any leading zeros</t>
    </r>
  </si>
  <si>
    <r>
      <rPr>
        <b/>
        <sz val="11"/>
        <rFont val="Calibri"/>
        <family val="2"/>
      </rPr>
      <t xml:space="preserve">SELECT OPTION:
</t>
    </r>
    <r>
      <rPr>
        <sz val="11"/>
        <rFont val="Calibri"/>
        <family val="2"/>
      </rPr>
      <t>Yes
No</t>
    </r>
  </si>
  <si>
    <r>
      <rPr>
        <sz val="11"/>
        <rFont val="Calibri"/>
        <family val="2"/>
      </rPr>
      <t>Auto-pulled from the Itemized Invoice by default</t>
    </r>
    <r>
      <rPr>
        <b/>
        <sz val="11"/>
        <rFont val="Calibri"/>
        <family val="2"/>
      </rPr>
      <t xml:space="preserve">
Separate multiple with semicolon</t>
    </r>
  </si>
  <si>
    <r>
      <t xml:space="preserve">Total cost of all installed Additional Related Home Improvements, 
</t>
    </r>
    <r>
      <rPr>
        <b/>
        <u/>
        <sz val="11"/>
        <rFont val="Calibri"/>
        <family val="2"/>
      </rPr>
      <t>not</t>
    </r>
    <r>
      <rPr>
        <sz val="11"/>
        <rFont val="Calibri"/>
        <family val="2"/>
      </rPr>
      <t xml:space="preserve"> </t>
    </r>
    <r>
      <rPr>
        <b/>
        <sz val="11"/>
        <rFont val="Calibri"/>
        <family val="2"/>
      </rPr>
      <t xml:space="preserve">included in the 70%. DG is not part of this cost. 
</t>
    </r>
    <r>
      <rPr>
        <sz val="11"/>
        <rFont val="Calibri"/>
        <family val="2"/>
      </rPr>
      <t>Auto-pulled from the Itemized Invoice by default</t>
    </r>
  </si>
  <si>
    <t>Ratio of 
Claim-Eligible Principal Amount /
Total Loan Principal Amount</t>
  </si>
  <si>
    <t>Product of
(Claim-Eligible Principal Amount) x
(LR Contribution %)</t>
  </si>
  <si>
    <t>State where the project was installed</t>
  </si>
  <si>
    <t>11-digit number assigned by the Master Servicer</t>
  </si>
  <si>
    <t xml:space="preserve">Date the complete financing enrollment package is received by the MS from the Lender  </t>
  </si>
  <si>
    <t>Required or Voluntary 
(hidden)</t>
  </si>
  <si>
    <t>Required</t>
  </si>
  <si>
    <t>Required
(unless Microloan)</t>
  </si>
  <si>
    <t>Voluntary</t>
  </si>
  <si>
    <t>Autocalc</t>
  </si>
  <si>
    <t>Value</t>
  </si>
  <si>
    <t>070</t>
  </si>
  <si>
    <t>Term Loan</t>
  </si>
  <si>
    <t>Fixed</t>
  </si>
  <si>
    <t>SMUD</t>
  </si>
  <si>
    <t>PGE</t>
  </si>
  <si>
    <t>Residential</t>
  </si>
  <si>
    <t>CA</t>
  </si>
  <si>
    <t>Unsecured</t>
  </si>
  <si>
    <t xml:space="preserve">Who fills out </t>
  </si>
  <si>
    <t>Lender
(Populates to Invoice)</t>
  </si>
  <si>
    <t>Lender</t>
  </si>
  <si>
    <t>Lender 
(Confirm if Auto-pulled)</t>
  </si>
  <si>
    <t>Lender or Concord</t>
  </si>
  <si>
    <t>Concord 
(Confirm if Auto-pulled)</t>
  </si>
  <si>
    <t>Concord</t>
  </si>
  <si>
    <t>Concord 
(Calculated)</t>
  </si>
  <si>
    <t>"Residential"</t>
  </si>
  <si>
    <t>Concord
(Auto-pulled)</t>
  </si>
  <si>
    <t>Data Dictionary ID 
(hidden)</t>
  </si>
  <si>
    <t xml:space="preserve">PF004
PFI/PFL Program Participation ID#  </t>
  </si>
  <si>
    <t>L017
Loan Officer Name</t>
  </si>
  <si>
    <t>L015
PFI/FL's Loan Identification Number</t>
  </si>
  <si>
    <t>B004
Borrower First Name</t>
  </si>
  <si>
    <t>B005
Borrower Last Name</t>
  </si>
  <si>
    <t>B020
Borrower Email Address</t>
  </si>
  <si>
    <t>B009
Borrower Telephone Number</t>
  </si>
  <si>
    <t>T005
Project Street Address</t>
  </si>
  <si>
    <t>T006
Project City</t>
  </si>
  <si>
    <t>T008
Project Zip</t>
  </si>
  <si>
    <t>L020
Loan Type</t>
  </si>
  <si>
    <t>L025
Date Interest Rate Finalized</t>
  </si>
  <si>
    <t>L030
Origination Date</t>
  </si>
  <si>
    <t>L027
Maturity Date</t>
  </si>
  <si>
    <t>L026
Term</t>
  </si>
  <si>
    <t>L023
Interest Rate</t>
  </si>
  <si>
    <t>L024
Fixed or Variable Rate</t>
  </si>
  <si>
    <t>L061
Borrower Enrolled in Autopay</t>
  </si>
  <si>
    <t>L021
Original Total Loan Principal Amount</t>
  </si>
  <si>
    <t>L022
Original Claim-Eligible Principal Amount</t>
  </si>
  <si>
    <t>B019
Census Tract of Borrower</t>
  </si>
  <si>
    <t>B012
Borrower FICO Score</t>
  </si>
  <si>
    <t>B008
Borrower Qualifies as Underserved</t>
  </si>
  <si>
    <t>L028
Lender used bill payment history in underwriting</t>
  </si>
  <si>
    <t>B011
Borrower Debt to Income Ratio Range</t>
  </si>
  <si>
    <t>B024
Borrower Site Occupancy</t>
  </si>
  <si>
    <t>T001
Electric IOU Name</t>
  </si>
  <si>
    <t>T002
Electric IOU Account Number</t>
  </si>
  <si>
    <t>T003
Gas IOU Name</t>
  </si>
  <si>
    <t>T004
Gas IOU Account Number</t>
  </si>
  <si>
    <t>B013
Borrower Became Aware of Program through</t>
  </si>
  <si>
    <t>B033
Borrower Motivation</t>
  </si>
  <si>
    <t>C001
Contractor Company Name</t>
  </si>
  <si>
    <t>C009
CSLB License #</t>
  </si>
  <si>
    <t>C010
Contractor Type</t>
  </si>
  <si>
    <t>P004
Qualified Contractor or Borrower is seeking a rebate or incentive</t>
  </si>
  <si>
    <t>P039
Rebate and/or incentive IOU/REN/CCA/State Program</t>
  </si>
  <si>
    <t>P006
Rebate/Incentive Program Name</t>
  </si>
  <si>
    <t>P007
Rebate/Incentive Project ID #</t>
  </si>
  <si>
    <t>P002
Installed Date/Contractor signature completion Date</t>
  </si>
  <si>
    <t xml:space="preserve">P024
Scope of Work Legally and Practically Required Measures Total Cost </t>
  </si>
  <si>
    <t>P031
Total Project Cost</t>
  </si>
  <si>
    <t>L035
Claim eligible principal as percentage of total loan</t>
  </si>
  <si>
    <t>L036
Loan Loss Reserve Contribution %</t>
  </si>
  <si>
    <t>L037
Loan Loss Reserve Original Contribution $</t>
  </si>
  <si>
    <t>L001
Program ID</t>
  </si>
  <si>
    <t>T011
Building Type</t>
  </si>
  <si>
    <t>T007
Project State</t>
  </si>
  <si>
    <t xml:space="preserve">L016
CHEEF Loan ID </t>
  </si>
  <si>
    <t>L013
Loan Enrollment Request received date</t>
  </si>
  <si>
    <t>P034
Project Notes</t>
  </si>
  <si>
    <t>Defaults to "Term Loan"</t>
  </si>
  <si>
    <t>Defaults to "Fixed"</t>
  </si>
  <si>
    <t>Defaults to "No"</t>
  </si>
  <si>
    <t>Defaults to "1"</t>
  </si>
  <si>
    <t>Field is editable for options not listed</t>
  </si>
  <si>
    <t>Always "1220"</t>
  </si>
  <si>
    <t>Always "Residential"</t>
  </si>
  <si>
    <t>Defaults to "CA"</t>
  </si>
  <si>
    <t>Small IOU</t>
  </si>
  <si>
    <t>City of Palo Alto</t>
  </si>
  <si>
    <t>City of Long Beach</t>
  </si>
  <si>
    <t>Data Source</t>
  </si>
  <si>
    <t>[Pulls from Lender Entry Screen tab (which may pull from Invoice)]</t>
  </si>
  <si>
    <t>Enrolled Loan Amount Checks</t>
  </si>
  <si>
    <t>Total Loan Amount</t>
  </si>
  <si>
    <t>[Lender enters on Lender Entry Screen tab]</t>
  </si>
  <si>
    <r>
      <t xml:space="preserve">Lender's submitted </t>
    </r>
    <r>
      <rPr>
        <b/>
        <sz val="11"/>
        <color theme="1"/>
        <rFont val="Calibri"/>
        <family val="2"/>
        <scheme val="minor"/>
      </rPr>
      <t>"claim-eligible"</t>
    </r>
    <r>
      <rPr>
        <sz val="11"/>
        <color theme="1"/>
        <rFont val="Calibri"/>
        <family val="2"/>
        <scheme val="minor"/>
      </rPr>
      <t xml:space="preserve"> loan principal amount</t>
    </r>
  </si>
  <si>
    <t>Loan Loss Reserve Total % and $ Calculations</t>
  </si>
  <si>
    <t>Borrower is LMI</t>
  </si>
  <si>
    <t>[Lender enters on Lender's Loan Enrollment tab]</t>
  </si>
  <si>
    <t>Loss Reserve Percent</t>
  </si>
  <si>
    <t>Loan Principal on which to base credit enhancement:</t>
  </si>
  <si>
    <t xml:space="preserve">[Lesser of: (Permissible claim-eligible cost) *or* (Lender's submitted Claim-Eligible Financed Amount)] </t>
  </si>
  <si>
    <t>Loss Reserve Contribution</t>
  </si>
  <si>
    <t>[Reserve % amount x lender's submitted enrolled amount]</t>
  </si>
  <si>
    <t>Electric Utility Type:</t>
  </si>
  <si>
    <t>Gas Utility Type:</t>
  </si>
  <si>
    <t>[Enter Date]</t>
  </si>
  <si>
    <t>[Enter Lender Emails]</t>
  </si>
  <si>
    <r>
      <rPr>
        <b/>
        <sz val="11"/>
        <color theme="1"/>
        <rFont val="Calibri"/>
        <family val="2"/>
        <scheme val="minor"/>
      </rPr>
      <t xml:space="preserve">From:   </t>
    </r>
    <r>
      <rPr>
        <sz val="11"/>
        <color theme="1"/>
        <rFont val="Calibri"/>
        <family val="2"/>
        <scheme val="minor"/>
      </rPr>
      <t>California Alternative Energy and Advanced Transportation Financing Authority (CAEATFA)</t>
    </r>
  </si>
  <si>
    <t>PFI/PFL's Name</t>
  </si>
  <si>
    <t>PFI/PFL's Internal Loan ID</t>
  </si>
  <si>
    <t>Underserved?</t>
  </si>
  <si>
    <t>Loss Reserve Calculations:</t>
  </si>
  <si>
    <t>Contractor:</t>
  </si>
  <si>
    <t>Total Loan Principal:</t>
  </si>
  <si>
    <t>Claim-Eligible Amt:</t>
  </si>
  <si>
    <t>CSLB #:</t>
  </si>
  <si>
    <t>LLR % Applied</t>
  </si>
  <si>
    <t>Contractor Type:</t>
  </si>
  <si>
    <t>Total LLR Contribution:</t>
  </si>
  <si>
    <t>Loan Enrollment Funding Instructions</t>
  </si>
  <si>
    <t>Amount</t>
  </si>
  <si>
    <t>To PFI/PFL's LLR Account</t>
  </si>
  <si>
    <t>1243127R001</t>
  </si>
  <si>
    <t>From TECH Program Acct</t>
  </si>
  <si>
    <t xml:space="preserve">Effective Receipt Date: </t>
  </si>
  <si>
    <t xml:space="preserve">Enrollment Due Date: </t>
  </si>
  <si>
    <t>Thank you for your assistance. If you have questions, please contact CAEATFA at CHEEFLLR@treasurer.ca.gov.</t>
  </si>
  <si>
    <t>All Valid Measures</t>
  </si>
  <si>
    <t>Note1</t>
  </si>
  <si>
    <t>Gas?</t>
  </si>
  <si>
    <t>Elec?</t>
  </si>
  <si>
    <t>Measure Fuel</t>
  </si>
  <si>
    <t>Utility</t>
  </si>
  <si>
    <t>Allocation</t>
  </si>
  <si>
    <t>AP-ACLN</t>
  </si>
  <si>
    <t>Yes</t>
  </si>
  <si>
    <t>Elec Utility</t>
  </si>
  <si>
    <t>Gas Utility</t>
  </si>
  <si>
    <t>Allo Fuel</t>
  </si>
  <si>
    <t>Allo Utility</t>
  </si>
  <si>
    <t>AP-CNVE</t>
  </si>
  <si>
    <t>added 5/24/21</t>
  </si>
  <si>
    <t>Both</t>
  </si>
  <si>
    <t>Gas</t>
  </si>
  <si>
    <t>AP-CVGR</t>
  </si>
  <si>
    <t>POU</t>
  </si>
  <si>
    <t>Program</t>
  </si>
  <si>
    <t>ID</t>
  </si>
  <si>
    <t>Replacement or New</t>
  </si>
  <si>
    <t>Required EEMS percentage</t>
  </si>
  <si>
    <t>AP-DRYE</t>
  </si>
  <si>
    <t>Electric</t>
  </si>
  <si>
    <t>OLD Accounts - Obsolete as of 1/1/21</t>
  </si>
  <si>
    <t>Replacement</t>
  </si>
  <si>
    <t>Single Contractor</t>
  </si>
  <si>
    <t>AP-DRYG</t>
  </si>
  <si>
    <t xml:space="preserve">236783500                </t>
  </si>
  <si>
    <t>REEL PROGRAM ACCOUNT</t>
  </si>
  <si>
    <t>EFLIC</t>
  </si>
  <si>
    <t>New</t>
  </si>
  <si>
    <t>Retail Installment Contract</t>
  </si>
  <si>
    <t>Self-Installer</t>
  </si>
  <si>
    <t>AP-DISH</t>
  </si>
  <si>
    <t xml:space="preserve">236783501                     </t>
  </si>
  <si>
    <t>REEL RESERVATION</t>
  </si>
  <si>
    <t>AMF: OBR</t>
  </si>
  <si>
    <t>DR</t>
  </si>
  <si>
    <t>Lease</t>
  </si>
  <si>
    <t>Rebate Anticipated or Actual</t>
  </si>
  <si>
    <t>AP-DSHE</t>
  </si>
  <si>
    <t>collapsed 5/24/21</t>
  </si>
  <si>
    <t>AMF: Off-Bill</t>
  </si>
  <si>
    <t>Yes/No</t>
  </si>
  <si>
    <t>Lease with Service Agreement</t>
  </si>
  <si>
    <t>Anticipated</t>
  </si>
  <si>
    <t>AP-DSHG</t>
  </si>
  <si>
    <t>NEW Accounts - as of 1/1/21</t>
  </si>
  <si>
    <t>Actual</t>
  </si>
  <si>
    <t>AP-FREZ</t>
  </si>
  <si>
    <t>Lender's LLR Account</t>
  </si>
  <si>
    <t>Lender Account Number</t>
  </si>
  <si>
    <t>Lender Name</t>
  </si>
  <si>
    <t>Lender ID</t>
  </si>
  <si>
    <t>Column1</t>
  </si>
  <si>
    <t>PP</t>
  </si>
  <si>
    <t>Borrower time in home</t>
  </si>
  <si>
    <t>AP-FRIG</t>
  </si>
  <si>
    <t>1243127R003</t>
  </si>
  <si>
    <t>Valley Oak CU</t>
  </si>
  <si>
    <t>010</t>
  </si>
  <si>
    <t>VO</t>
  </si>
  <si>
    <t>Less than 1 year</t>
  </si>
  <si>
    <t>Electric Utility Name</t>
  </si>
  <si>
    <t>How Borrower Became Aware</t>
  </si>
  <si>
    <t>AP-INDU</t>
  </si>
  <si>
    <t>1243127R004</t>
  </si>
  <si>
    <t>Matadors CCU</t>
  </si>
  <si>
    <t>020</t>
  </si>
  <si>
    <t>MAT</t>
  </si>
  <si>
    <t xml:space="preserve">Fixed or Variable </t>
  </si>
  <si>
    <t>OT</t>
  </si>
  <si>
    <t>1-2 years</t>
  </si>
  <si>
    <t>Contractor</t>
  </si>
  <si>
    <t>AP-RHDA</t>
  </si>
  <si>
    <t>1243127R005</t>
  </si>
  <si>
    <t>California Coast CU</t>
  </si>
  <si>
    <t>040</t>
  </si>
  <si>
    <t>CalCoast</t>
  </si>
  <si>
    <t>Primary Reason Borrower chose REEL</t>
  </si>
  <si>
    <t>3-5 years</t>
  </si>
  <si>
    <t>SCE</t>
  </si>
  <si>
    <t>AP-WASH</t>
  </si>
  <si>
    <t>1243127R006</t>
  </si>
  <si>
    <t>Desert Valleys FCU</t>
  </si>
  <si>
    <t>030</t>
  </si>
  <si>
    <t>DVFCU</t>
  </si>
  <si>
    <t>Attractive loan terms</t>
  </si>
  <si>
    <t>Variable</t>
  </si>
  <si>
    <t># of Units</t>
  </si>
  <si>
    <t>6-10 years</t>
  </si>
  <si>
    <t>SDGE</t>
  </si>
  <si>
    <t>AP-WSHE</t>
  </si>
  <si>
    <t>1243127R007</t>
  </si>
  <si>
    <t>Eagle CCU</t>
  </si>
  <si>
    <t>050</t>
  </si>
  <si>
    <t>ECCU</t>
  </si>
  <si>
    <t>Non-energy measures</t>
  </si>
  <si>
    <t>More than 10 years</t>
  </si>
  <si>
    <t>LADWP</t>
  </si>
  <si>
    <t>Online Search</t>
  </si>
  <si>
    <t>AP-WSHG</t>
  </si>
  <si>
    <t>1243127R008</t>
  </si>
  <si>
    <t>Pasadena SFCU</t>
  </si>
  <si>
    <t>060</t>
  </si>
  <si>
    <t>PSFCU</t>
  </si>
  <si>
    <t>No lien on property</t>
  </si>
  <si>
    <t>Yes/Not Required</t>
  </si>
  <si>
    <t>Family, Friend or Neighbor</t>
  </si>
  <si>
    <t>BE-AIRS</t>
  </si>
  <si>
    <t>added 1/13/21</t>
  </si>
  <si>
    <t>1243127R009</t>
  </si>
  <si>
    <t>First U.S. CCU</t>
  </si>
  <si>
    <t>1US</t>
  </si>
  <si>
    <t>Contractor suggested</t>
  </si>
  <si>
    <t>Borrower underserved</t>
  </si>
  <si>
    <t>[other - enter name]</t>
  </si>
  <si>
    <t>Social Media or Advertisement</t>
  </si>
  <si>
    <t>BE-AS15</t>
  </si>
  <si>
    <t>collapsed 12/21/20</t>
  </si>
  <si>
    <t>1243127R010</t>
  </si>
  <si>
    <t>Travis CU</t>
  </si>
  <si>
    <t>080</t>
  </si>
  <si>
    <t>TCU</t>
  </si>
  <si>
    <t>Could not get other financing</t>
  </si>
  <si>
    <t>Not Required</t>
  </si>
  <si>
    <t>Event</t>
  </si>
  <si>
    <t>BE-AS30</t>
  </si>
  <si>
    <t>Other</t>
  </si>
  <si>
    <t>Yes - Cens Tr</t>
  </si>
  <si>
    <t>Gas Utility Name</t>
  </si>
  <si>
    <t>[other - enter here]</t>
  </si>
  <si>
    <t>BE-AI30</t>
  </si>
  <si>
    <t>FICO Range</t>
  </si>
  <si>
    <t>Yes - Cred Chal</t>
  </si>
  <si>
    <t>BE-AI38</t>
  </si>
  <si>
    <t>[Enter Manually]</t>
  </si>
  <si>
    <t>Safety Tester Qualification</t>
  </si>
  <si>
    <t>No FICO</t>
  </si>
  <si>
    <t>SCG</t>
  </si>
  <si>
    <t>Borrower Motivation</t>
  </si>
  <si>
    <t>BE-AI49</t>
  </si>
  <si>
    <t>Participant in whole house retrofit program in IOU territory</t>
  </si>
  <si>
    <t>580-640</t>
  </si>
  <si>
    <t>BE-FI19</t>
  </si>
  <si>
    <t>BPI Certified</t>
  </si>
  <si>
    <t>Secured or Unsecured</t>
  </si>
  <si>
    <t>641-700</t>
  </si>
  <si>
    <t>Property Occupancy</t>
  </si>
  <si>
    <t>Reduce my energy use</t>
  </si>
  <si>
    <t>BE-FI30</t>
  </si>
  <si>
    <t xml:space="preserve">Trained on NGAT or equivalent </t>
  </si>
  <si>
    <t>701-760</t>
  </si>
  <si>
    <t>Owner Occupied</t>
  </si>
  <si>
    <t>Save money on my energy bills</t>
  </si>
  <si>
    <t>BE-INSA</t>
  </si>
  <si>
    <t>761-820</t>
  </si>
  <si>
    <t>Owner Non-Occupied</t>
  </si>
  <si>
    <t>Utility Providing Rebate</t>
  </si>
  <si>
    <t>Improve my comfort</t>
  </si>
  <si>
    <t>BE-INSF</t>
  </si>
  <si>
    <t>Income Range</t>
  </si>
  <si>
    <t>821+</t>
  </si>
  <si>
    <t>Renter or Lessee</t>
  </si>
  <si>
    <t>[Other - enter here]</t>
  </si>
  <si>
    <t>BE-INSS</t>
  </si>
  <si>
    <t>Under $25,000</t>
  </si>
  <si>
    <t>Debt to Income</t>
  </si>
  <si>
    <t>BE-INSW</t>
  </si>
  <si>
    <t>$25,000-34,999</t>
  </si>
  <si>
    <t>Under 25%</t>
  </si>
  <si>
    <t>BE-RADB</t>
  </si>
  <si>
    <t>$35,000-49,999</t>
  </si>
  <si>
    <t>25-35%</t>
  </si>
  <si>
    <t>BE-ROOF</t>
  </si>
  <si>
    <t>$50,000-74,999</t>
  </si>
  <si>
    <t>36-45%</t>
  </si>
  <si>
    <t>3CREN</t>
  </si>
  <si>
    <t>BE-WFLM</t>
  </si>
  <si>
    <t>$75,000-99,999</t>
  </si>
  <si>
    <t>46-55%</t>
  </si>
  <si>
    <t>BayREN</t>
  </si>
  <si>
    <t>BE-WI13</t>
  </si>
  <si>
    <t>$100,000-149,999</t>
  </si>
  <si>
    <t>Over 55%</t>
  </si>
  <si>
    <t>IREN</t>
  </si>
  <si>
    <t>BE-WI19</t>
  </si>
  <si>
    <t>$150,000+</t>
  </si>
  <si>
    <t>BE-WIND</t>
  </si>
  <si>
    <t>DR-TESS</t>
  </si>
  <si>
    <t>LMI</t>
  </si>
  <si>
    <t>Reserve %</t>
  </si>
  <si>
    <t>SoCalREN</t>
  </si>
  <si>
    <t>HV-AC14</t>
  </si>
  <si>
    <t>HV-AC15</t>
  </si>
  <si>
    <t>HV-AC16</t>
  </si>
  <si>
    <t>HV-AC17</t>
  </si>
  <si>
    <t>HV-AC18</t>
  </si>
  <si>
    <t>HV-ALRT</t>
  </si>
  <si>
    <t>HV-CACS</t>
  </si>
  <si>
    <t>HV-CHAC</t>
  </si>
  <si>
    <t>HV-CTRL</t>
  </si>
  <si>
    <t>HV-DIR6</t>
  </si>
  <si>
    <t>HV-DIR8</t>
  </si>
  <si>
    <t>HV-DUCI</t>
  </si>
  <si>
    <t>HV-DUCR</t>
  </si>
  <si>
    <t>HV-DUCT</t>
  </si>
  <si>
    <t>HV-DUCX</t>
  </si>
  <si>
    <t>HV-EVAP</t>
  </si>
  <si>
    <t>HV-EVPD</t>
  </si>
  <si>
    <t>HV-EVPM</t>
  </si>
  <si>
    <t>HV-EVPW</t>
  </si>
  <si>
    <t>HV-FALR</t>
  </si>
  <si>
    <t>HV-FANT</t>
  </si>
  <si>
    <t>HV-FECM</t>
  </si>
  <si>
    <t>HV-FR80</t>
  </si>
  <si>
    <t>HV-FR90</t>
  </si>
  <si>
    <t>HV-FR94</t>
  </si>
  <si>
    <t>HV-FR96</t>
  </si>
  <si>
    <t>HV-FURR</t>
  </si>
  <si>
    <t>HV-GRAV</t>
  </si>
  <si>
    <t>HV-HFAN</t>
  </si>
  <si>
    <t>HV-HP14</t>
  </si>
  <si>
    <t>HV-HP15</t>
  </si>
  <si>
    <t>HV-HP16</t>
  </si>
  <si>
    <t>HV-HP17</t>
  </si>
  <si>
    <t>HV-HP18</t>
  </si>
  <si>
    <t>HV-HPMP</t>
  </si>
  <si>
    <t>HV-HYRA</t>
  </si>
  <si>
    <t>HV-MERV</t>
  </si>
  <si>
    <t>HV-MSHP</t>
  </si>
  <si>
    <t>HV-MSPL</t>
  </si>
  <si>
    <t>HV-SMRT</t>
  </si>
  <si>
    <t>HV-SP14</t>
  </si>
  <si>
    <t>HV-SP15</t>
  </si>
  <si>
    <t>HV-SP16</t>
  </si>
  <si>
    <t>HV-SP17</t>
  </si>
  <si>
    <t>HV-SP18</t>
  </si>
  <si>
    <t>HV-TUNE</t>
  </si>
  <si>
    <t>HV-VFEN</t>
  </si>
  <si>
    <t>LI-LEDL</t>
  </si>
  <si>
    <t>LI-TAPE</t>
  </si>
  <si>
    <t>LT-LEDL</t>
  </si>
  <si>
    <t>changed cat 12/21/20</t>
  </si>
  <si>
    <t>OT-REBA</t>
  </si>
  <si>
    <t>OT-REBB</t>
  </si>
  <si>
    <t>PP-COVE</t>
  </si>
  <si>
    <t>PP-COVG</t>
  </si>
  <si>
    <t>PP-MOTR</t>
  </si>
  <si>
    <t>PP-PMTR</t>
  </si>
  <si>
    <t>PP-VDRV</t>
  </si>
  <si>
    <t>PP-VMTR</t>
  </si>
  <si>
    <t>WH-ETNK</t>
  </si>
  <si>
    <t>WH-FAER</t>
  </si>
  <si>
    <t>WH-FAUE</t>
  </si>
  <si>
    <t>WH-FAUG</t>
  </si>
  <si>
    <t>WH-GSLG</t>
  </si>
  <si>
    <t>WH-GSSM</t>
  </si>
  <si>
    <t>WH-GTNK</t>
  </si>
  <si>
    <t>WH-HP55</t>
  </si>
  <si>
    <t>WH-PIPE</t>
  </si>
  <si>
    <t>WH-SHLF</t>
  </si>
  <si>
    <t>WH-SHTV</t>
  </si>
  <si>
    <t>WH-SHWE</t>
  </si>
  <si>
    <t>WH-SHWG</t>
  </si>
  <si>
    <t>WH-TINS</t>
  </si>
  <si>
    <t>WH-VALE</t>
  </si>
  <si>
    <t>WH-VALG</t>
  </si>
  <si>
    <t>WH-TKLS</t>
  </si>
  <si>
    <t>split in 2018</t>
  </si>
  <si>
    <t>WH-WHEG</t>
  </si>
  <si>
    <r>
      <rPr>
        <b/>
        <sz val="11"/>
        <color theme="1"/>
        <rFont val="Calibri"/>
        <family val="2"/>
        <scheme val="minor"/>
      </rPr>
      <t>RE:   Funding Memo</t>
    </r>
    <r>
      <rPr>
        <sz val="11"/>
        <color theme="1"/>
        <rFont val="Calibri"/>
        <family val="2"/>
        <scheme val="minor"/>
      </rPr>
      <t xml:space="preserve"> - </t>
    </r>
    <r>
      <rPr>
        <sz val="11"/>
        <rFont val="Calibri"/>
        <family val="2"/>
        <scheme val="minor"/>
      </rPr>
      <t>GGH</t>
    </r>
    <r>
      <rPr>
        <sz val="11"/>
        <color theme="1"/>
        <rFont val="Calibri"/>
        <family val="2"/>
        <scheme val="minor"/>
      </rPr>
      <t xml:space="preserve"> Program New Loan Enrollment</t>
    </r>
  </si>
  <si>
    <r>
      <t xml:space="preserve">From CHEEF </t>
    </r>
    <r>
      <rPr>
        <sz val="11"/>
        <rFont val="Calibri"/>
        <family val="2"/>
        <scheme val="minor"/>
      </rPr>
      <t>GGH</t>
    </r>
    <r>
      <rPr>
        <sz val="11"/>
        <color theme="1"/>
        <rFont val="Calibri"/>
        <family val="2"/>
        <scheme val="minor"/>
      </rPr>
      <t xml:space="preserve"> Program Acct</t>
    </r>
  </si>
  <si>
    <t>E Util Name:</t>
  </si>
  <si>
    <t>G Util Name:</t>
  </si>
  <si>
    <t>Big 4 IOU</t>
  </si>
  <si>
    <t>POU or Co-op</t>
  </si>
  <si>
    <t>Category</t>
  </si>
  <si>
    <t>ACLN</t>
  </si>
  <si>
    <t>CNVE</t>
  </si>
  <si>
    <t>DRYE</t>
  </si>
  <si>
    <t>DRYG</t>
  </si>
  <si>
    <t>DISH</t>
  </si>
  <si>
    <t>FREZ</t>
  </si>
  <si>
    <t>FRIG</t>
  </si>
  <si>
    <t>INDU</t>
  </si>
  <si>
    <t>RHDA</t>
  </si>
  <si>
    <t>WASH</t>
  </si>
  <si>
    <t>AIRS</t>
  </si>
  <si>
    <t>INSA</t>
  </si>
  <si>
    <t>INSF</t>
  </si>
  <si>
    <t>INSS</t>
  </si>
  <si>
    <t>RADB</t>
  </si>
  <si>
    <t>WFLM</t>
  </si>
  <si>
    <t>WIND</t>
  </si>
  <si>
    <t>TESS</t>
  </si>
  <si>
    <t>ALRT</t>
  </si>
  <si>
    <t>CACS</t>
  </si>
  <si>
    <t>CHAC</t>
  </si>
  <si>
    <t>CTRL</t>
  </si>
  <si>
    <t>DUCI</t>
  </si>
  <si>
    <t>DUCT</t>
  </si>
  <si>
    <t>DUCX</t>
  </si>
  <si>
    <t>FALR</t>
  </si>
  <si>
    <t>FANT</t>
  </si>
  <si>
    <t>FECM</t>
  </si>
  <si>
    <t>FURR</t>
  </si>
  <si>
    <t>HFAN</t>
  </si>
  <si>
    <t>HPMP</t>
  </si>
  <si>
    <t>HYRA</t>
  </si>
  <si>
    <t>MERV</t>
  </si>
  <si>
    <t>MSHP</t>
  </si>
  <si>
    <t>MSPL</t>
  </si>
  <si>
    <t>SMRT</t>
  </si>
  <si>
    <t>TUNE</t>
  </si>
  <si>
    <t>VFEN</t>
  </si>
  <si>
    <t>TAPE</t>
  </si>
  <si>
    <t>REBA</t>
  </si>
  <si>
    <t>REBB</t>
  </si>
  <si>
    <t>COVE</t>
  </si>
  <si>
    <t>COVG</t>
  </si>
  <si>
    <t>MOTR</t>
  </si>
  <si>
    <t>ETNK</t>
  </si>
  <si>
    <t>FAER</t>
  </si>
  <si>
    <t>GTNK</t>
  </si>
  <si>
    <t>PIPE</t>
  </si>
  <si>
    <t>SHLF</t>
  </si>
  <si>
    <t>SHTV</t>
  </si>
  <si>
    <t>TINS</t>
  </si>
  <si>
    <t>WHEG</t>
  </si>
  <si>
    <t>City of Roseville</t>
  </si>
  <si>
    <t>Modesto Irrigation District</t>
  </si>
  <si>
    <t>Turlock Irrigation District</t>
  </si>
  <si>
    <t>Southwest Gas</t>
  </si>
  <si>
    <t>Description:</t>
  </si>
  <si>
    <t>TECH LLR</t>
  </si>
  <si>
    <t>PPP LLR</t>
  </si>
  <si>
    <t>TECH LRC Amount</t>
  </si>
  <si>
    <t>PPP LRC Amount</t>
  </si>
  <si>
    <r>
      <t>Please transfer the funds from th</t>
    </r>
    <r>
      <rPr>
        <sz val="11"/>
        <rFont val="Calibri"/>
        <family val="2"/>
        <scheme val="minor"/>
      </rPr>
      <t>e respective Program Accounts</t>
    </r>
    <r>
      <rPr>
        <sz val="11"/>
        <color rgb="FF000000"/>
        <rFont val="Calibri"/>
        <family val="2"/>
        <scheme val="minor"/>
      </rPr>
      <t xml:space="preserve"> to the PFI/PFL's LLR Acct as indicated below: </t>
    </r>
  </si>
  <si>
    <t>Are TECH Funds Available?</t>
  </si>
  <si>
    <t>Launch Date for TECH Funding:</t>
  </si>
  <si>
    <t>BE-RADC</t>
  </si>
  <si>
    <t>BE-WCIN</t>
  </si>
  <si>
    <t>BE-WCEX</t>
  </si>
  <si>
    <t>WCIN</t>
  </si>
  <si>
    <t>WCEX</t>
  </si>
  <si>
    <t>RADC</t>
  </si>
  <si>
    <t>added 3/15/22</t>
  </si>
  <si>
    <t>Big 4 IOUs</t>
  </si>
  <si>
    <t>POUs</t>
  </si>
  <si>
    <r>
      <t xml:space="preserve">SELECT OPTION:
</t>
    </r>
    <r>
      <rPr>
        <sz val="11"/>
        <rFont val="Calibri"/>
        <family val="2"/>
      </rPr>
      <t>Big 4 IOU
POU or Co-op
Small IOU</t>
    </r>
  </si>
  <si>
    <t>PPP Funding Ratio</t>
  </si>
  <si>
    <t>TECH Funding Ratio</t>
  </si>
  <si>
    <t>L068
PPP Loss Reserve Contribution Amount</t>
  </si>
  <si>
    <t>L069
TECH Loss Reserve Contribution Amount</t>
  </si>
  <si>
    <t>L070
Project Electric Cost Ratio</t>
  </si>
  <si>
    <t>L071
Project Gas Cost Ratio</t>
  </si>
  <si>
    <t>L072
Project Big 4 IOU Cost Ratio</t>
  </si>
  <si>
    <t>L073
Project Other Utility Electric Cost Ratio</t>
  </si>
  <si>
    <t>L075
Project POU Electric Cost Percentage</t>
  </si>
  <si>
    <t>L076
Project Small IOU Electric Cost Percentage</t>
  </si>
  <si>
    <t>L074
Project Other Utility Gas Cost Ratio</t>
  </si>
  <si>
    <t>L077
Project POU Gas Cost Percentage</t>
  </si>
  <si>
    <t>L078
Project Small IOU Gas Cost Percentage</t>
  </si>
  <si>
    <t>L066
PPP Funding Ratio</t>
  </si>
  <si>
    <t>L067
TECH Funding Ratio</t>
  </si>
  <si>
    <t>PPP Loss Reserve Contribution Amount</t>
  </si>
  <si>
    <t>TECH Loss Reserve Contribution Amount</t>
  </si>
  <si>
    <t>Electric Cost Ratio</t>
  </si>
  <si>
    <t>Gas Cost Ratio</t>
  </si>
  <si>
    <t>Big 4 IOU Cost Ratio</t>
  </si>
  <si>
    <t>Other Utility Electric Cost Ratio</t>
  </si>
  <si>
    <t>POU Electric Cost Percentage</t>
  </si>
  <si>
    <t>Small IOU Electric Cost Percentage</t>
  </si>
  <si>
    <t>Other Utility Gas Cost Ratio</t>
  </si>
  <si>
    <t>POU Gas Cost Percentage</t>
  </si>
  <si>
    <t>Small IOU Gas Cost Percentage</t>
  </si>
  <si>
    <t>T022
Electric Utility Type</t>
  </si>
  <si>
    <t>T023
Gas Utility Type</t>
  </si>
  <si>
    <t>Auto-selects for most options, but editable</t>
  </si>
  <si>
    <t>Internal</t>
  </si>
  <si>
    <t>Lender
(Concord if blank)</t>
  </si>
  <si>
    <t>Defaults based on ERD and Tech Launch Date by =IF(ERD&gt;=TECH_Launch_Date, "Yes","No")</t>
  </si>
  <si>
    <t>New Field</t>
  </si>
  <si>
    <t>Is TECH funding currently active?:</t>
  </si>
  <si>
    <t>None</t>
  </si>
  <si>
    <t>Electric Utility:</t>
  </si>
  <si>
    <t>Gas Utility:</t>
  </si>
  <si>
    <t>CHEEF GGH Program Account</t>
  </si>
  <si>
    <t>CHEEF TECH GGH Program Account</t>
  </si>
  <si>
    <t>1243127R012</t>
  </si>
  <si>
    <t>GGH Program Accounts</t>
  </si>
  <si>
    <t>CHEEF GGH VALLEY OAK CU LOSS RESERVE</t>
  </si>
  <si>
    <t>CHEEF GGH MATADORS LOSS RESERVE</t>
  </si>
  <si>
    <t>CHEEF GGH CALIFORNIA COAST LOSS RESERVE</t>
  </si>
  <si>
    <t>CHEEF GGH DESERT VALLEYS FCU LOSS RESERVE</t>
  </si>
  <si>
    <t xml:space="preserve">CHEEF GGH EAGLE CCU LOSS RESERVE </t>
  </si>
  <si>
    <t xml:space="preserve">CHEEF GGH PASADENA SFCU LOSS RESERVE </t>
  </si>
  <si>
    <t xml:space="preserve">CHEEF GGH FIRST U.S. CCU LOSS RESERVE </t>
  </si>
  <si>
    <t>CHEEF GGH TRAVIS CU LOSS RESERVE</t>
  </si>
  <si>
    <t>GoGreen Home</t>
  </si>
  <si>
    <t>GoGreen Business: Off-Bill</t>
  </si>
  <si>
    <t>GoGreen Business: OBR</t>
  </si>
  <si>
    <t>GGH: "1220"</t>
  </si>
  <si>
    <t>GGH: "Residential"</t>
  </si>
  <si>
    <r>
      <t xml:space="preserve">SELECT OPTION:
</t>
    </r>
    <r>
      <rPr>
        <sz val="11"/>
        <rFont val="Calibri"/>
        <family val="2"/>
      </rPr>
      <t>Big 4 IOU
POU or Co-op
Small IOU
None</t>
    </r>
  </si>
  <si>
    <t>.</t>
  </si>
  <si>
    <t>Imperial Irrigation District</t>
  </si>
  <si>
    <t>City of Riverside</t>
  </si>
  <si>
    <t>Anaheim Public Utilities</t>
  </si>
  <si>
    <t>L070</t>
  </si>
  <si>
    <t>L071</t>
  </si>
  <si>
    <t>L072</t>
  </si>
  <si>
    <t>L073</t>
  </si>
  <si>
    <t>L074</t>
  </si>
  <si>
    <t>L075</t>
  </si>
  <si>
    <t>L076</t>
  </si>
  <si>
    <t>L077</t>
  </si>
  <si>
    <t>L078</t>
  </si>
  <si>
    <t>L066</t>
  </si>
  <si>
    <t>L067</t>
  </si>
  <si>
    <t>Small IOUs</t>
  </si>
  <si>
    <t>Allo Funding</t>
  </si>
  <si>
    <t>PPP</t>
  </si>
  <si>
    <t>50% Big 4 IOU / 50% POU E</t>
  </si>
  <si>
    <t>N/A</t>
  </si>
  <si>
    <t>50-50</t>
  </si>
  <si>
    <t>50% Big 4 IOU / 50% POU G</t>
  </si>
  <si>
    <t>50% Big 4 IOU / 50% Small IOU G</t>
  </si>
  <si>
    <t>50% Big 4 IOU / 50% Small IOU E</t>
  </si>
  <si>
    <t>POU E</t>
  </si>
  <si>
    <t>TECH</t>
  </si>
  <si>
    <t>The $ amount of the Credit Enhancement Funds contributed to the Finance Provider Entity's Loss Reserve Account for this Enrolled Financing Agreement from the IOU-funded CHEEF GGH Program Account. 
Product of
(LR Contribution $)
x
(PPP Funding Ratio)</t>
  </si>
  <si>
    <t>The $ amount of the Credit Enhancement Funds contributed to the Finance Provider Entity's Loss Reserve Account for this Enrolled Financing Agreement from the TECH-funded GGH TECH Program Account. 
Product of
(LR Contribution $)
x
(TECH Funding Ratio)</t>
  </si>
  <si>
    <r>
      <rPr>
        <b/>
        <sz val="8"/>
        <rFont val="Calibri"/>
        <family val="2"/>
      </rPr>
      <t xml:space="preserve">If there is an ERROR, select option:
</t>
    </r>
    <r>
      <rPr>
        <sz val="8"/>
        <rFont val="Calibri"/>
        <family val="2"/>
      </rPr>
      <t xml:space="preserve">
Electric</t>
    </r>
    <r>
      <rPr>
        <b/>
        <sz val="8"/>
        <rFont val="Calibri"/>
        <family val="2"/>
      </rPr>
      <t xml:space="preserve">
</t>
    </r>
    <r>
      <rPr>
        <sz val="8"/>
        <rFont val="Calibri"/>
        <family val="2"/>
      </rPr>
      <t>Gas
Both</t>
    </r>
  </si>
  <si>
    <t>Calculated Ratio:</t>
  </si>
  <si>
    <t>Data ID:</t>
  </si>
  <si>
    <t>Other Electric Utility Cost Ratio</t>
  </si>
  <si>
    <t>Other Gas Utility Cost Ratio</t>
  </si>
  <si>
    <t>POU Electric Cost %</t>
  </si>
  <si>
    <t>Small IOU Electric Cost %</t>
  </si>
  <si>
    <t>POU Gas Cost %</t>
  </si>
  <si>
    <t>Small IOU Gas Cost %</t>
  </si>
  <si>
    <r>
      <rPr>
        <b/>
        <sz val="11"/>
        <color theme="1"/>
        <rFont val="Calibri"/>
        <family val="2"/>
        <scheme val="minor"/>
      </rPr>
      <t>Allocation Methodology:</t>
    </r>
    <r>
      <rPr>
        <sz val="11"/>
        <color theme="1"/>
        <rFont val="Calibri"/>
        <family val="2"/>
        <scheme val="minor"/>
      </rPr>
      <t xml:space="preserve">
Costs from Other Electric Utility Cost Ratio are further allocated based on whether that non-Big 4 IOU ("other") utility is a POU or Small IOU.</t>
    </r>
  </si>
  <si>
    <r>
      <rPr>
        <b/>
        <sz val="11"/>
        <color theme="1"/>
        <rFont val="Calibri"/>
        <family val="2"/>
        <scheme val="minor"/>
      </rPr>
      <t>Allocation Methodology:</t>
    </r>
    <r>
      <rPr>
        <sz val="11"/>
        <color theme="1"/>
        <rFont val="Calibri"/>
        <family val="2"/>
        <scheme val="minor"/>
      </rPr>
      <t xml:space="preserve">
Costs from Other Gas Utility Cost Ratio are further allocated based on whether that non-Big 4 IOU ("other") utility is a POU or Small IOU.</t>
    </r>
  </si>
  <si>
    <r>
      <rPr>
        <b/>
        <sz val="11"/>
        <rFont val="Calibri"/>
        <family val="2"/>
      </rPr>
      <t xml:space="preserve">SELECT OPTION:
(options for all loans)
</t>
    </r>
    <r>
      <rPr>
        <sz val="11"/>
        <rFont val="Calibri"/>
        <family val="2"/>
      </rPr>
      <t xml:space="preserve">Single Contractor
Self-Installer
GGH Contractor w/ SI
Multiple GGH Contractors
</t>
    </r>
    <r>
      <rPr>
        <b/>
        <sz val="11"/>
        <rFont val="Calibri"/>
        <family val="2"/>
      </rPr>
      <t>(additional option for microloans only)</t>
    </r>
    <r>
      <rPr>
        <sz val="11"/>
        <rFont val="Calibri"/>
        <family val="2"/>
      </rPr>
      <t xml:space="preserve">
Professional Non-GGH Installer</t>
    </r>
  </si>
  <si>
    <t>GGH Contractor w/ SI</t>
  </si>
  <si>
    <t>Multiple GGH Contractors</t>
  </si>
  <si>
    <t>Professional Non-GGH Installer</t>
  </si>
  <si>
    <r>
      <t xml:space="preserve">Has TECH funding launched and is there currently TECH funding available? This is used to determine the source of CE funds for the financing agreement in the case of gas-IOU/electric-POU split territory projects.
</t>
    </r>
    <r>
      <rPr>
        <b/>
        <sz val="11"/>
        <rFont val="Calibri"/>
        <family val="2"/>
      </rPr>
      <t xml:space="preserve">SELECT OPTION:
</t>
    </r>
    <r>
      <rPr>
        <sz val="11"/>
        <rFont val="Calibri"/>
        <family val="2"/>
      </rPr>
      <t>Yes
No</t>
    </r>
  </si>
  <si>
    <t>The percentage of the Loss Reserve Contribution Amount and transactional costs funded from IOU PPP funds, displayed as a decimal. 
The PPP Funding Ratio (L066) + TECH Funding Ratio (L067) will always add up to 1.00 (100%), unless/until CAEATFA obtains another source of funding.</t>
  </si>
  <si>
    <t>Note2</t>
  </si>
  <si>
    <t>removed 3/22</t>
  </si>
  <si>
    <t>L065
TECH Funds Active</t>
  </si>
  <si>
    <t>Required
(if applicable)</t>
  </si>
  <si>
    <t>How Borrower found out about GGH</t>
  </si>
  <si>
    <r>
      <t xml:space="preserve">General notes about the project or Borrower, to inform reviewer about specifics or anomalies with the project. 
Examples: 
John and Jane Doe are coborrowers;
Utility bill is current as of credit approval;
Home is a duplex;
</t>
    </r>
    <r>
      <rPr>
        <b/>
        <sz val="11"/>
        <rFont val="Calibri"/>
        <family val="2"/>
      </rPr>
      <t>Do not enter carriage returns</t>
    </r>
    <r>
      <rPr>
        <sz val="11"/>
        <rFont val="Calibri"/>
        <family val="2"/>
      </rPr>
      <t xml:space="preserve">
</t>
    </r>
    <r>
      <rPr>
        <b/>
        <sz val="11"/>
        <rFont val="Calibri"/>
        <family val="2"/>
      </rPr>
      <t>Separate multiple with semicolon</t>
    </r>
  </si>
  <si>
    <t>Notes</t>
  </si>
  <si>
    <t>DUCR</t>
  </si>
  <si>
    <r>
      <t xml:space="preserve">Select one option below: 
</t>
    </r>
    <r>
      <rPr>
        <i/>
        <sz val="11"/>
        <rFont val="Calibri"/>
        <family val="2"/>
      </rPr>
      <t>I first heard of the financing for this project from...</t>
    </r>
    <r>
      <rPr>
        <b/>
        <sz val="11"/>
        <rFont val="Calibri"/>
        <family val="2"/>
      </rPr>
      <t xml:space="preserve">
</t>
    </r>
    <r>
      <rPr>
        <sz val="11"/>
        <rFont val="Calibri"/>
        <family val="2"/>
      </rPr>
      <t xml:space="preserve">
Contractor
Lender
Utility
Online Search
Family, Friend or Neighbor
Social Media or Advertisement
Event
Other (editable)
</t>
    </r>
    <r>
      <rPr>
        <b/>
        <sz val="11"/>
        <rFont val="Calibri"/>
        <family val="2"/>
      </rPr>
      <t>Field (j) on the Borrower Form</t>
    </r>
  </si>
  <si>
    <t>Replace broken equipment</t>
  </si>
  <si>
    <t>Upgrade old/inefficient equipment</t>
  </si>
  <si>
    <t>Invest in my home</t>
  </si>
  <si>
    <r>
      <t xml:space="preserve">Select all that apply:
</t>
    </r>
    <r>
      <rPr>
        <i/>
        <sz val="11"/>
        <rFont val="Calibri"/>
        <family val="2"/>
      </rPr>
      <t>My motivation for doing this project was to:</t>
    </r>
    <r>
      <rPr>
        <b/>
        <sz val="11"/>
        <rFont val="Calibri"/>
        <family val="2"/>
      </rPr>
      <t xml:space="preserve">
</t>
    </r>
    <r>
      <rPr>
        <sz val="11"/>
        <rFont val="Calibri"/>
        <family val="2"/>
      </rPr>
      <t xml:space="preserve">
Replace broken equipment
Upgrade old/inefficient equipment
Reduce my energy use
Save money on my energy bills
Invest in my home
Improve my comfort
Other:______
</t>
    </r>
    <r>
      <rPr>
        <b/>
        <sz val="11"/>
        <rFont val="Calibri"/>
        <family val="2"/>
      </rPr>
      <t>Field (k) on the Borrower Form
If multiple, type out all option(s) selected.</t>
    </r>
  </si>
  <si>
    <t>Friend of the home owner</t>
  </si>
  <si>
    <r>
      <t xml:space="preserve">SELECT OPTION:
</t>
    </r>
    <r>
      <rPr>
        <sz val="11"/>
        <rFont val="Calibri"/>
        <family val="2"/>
      </rPr>
      <t xml:space="preserve">
Owner Occupied
Owner Non-Occupied
Friend of the home owner
Renter or Lessee</t>
    </r>
  </si>
  <si>
    <t>removed 9/23</t>
  </si>
  <si>
    <t>HV-WCFA</t>
  </si>
  <si>
    <t>added 9/8/23</t>
  </si>
  <si>
    <t>WCFA</t>
  </si>
  <si>
    <t>CHEEF GGH DIABLO VALLEY FCU LOSS RESERVE</t>
  </si>
  <si>
    <t>Diablo Valley FCU</t>
  </si>
  <si>
    <t>120</t>
  </si>
  <si>
    <t>Palo Alto Funding Ratio</t>
  </si>
  <si>
    <t>Palo Alto Loss Reserve Contribution Amount</t>
  </si>
  <si>
    <t>The percentage of the Loss Reserve Contribution Amount and transactional costs funded from Palo Alto funds, displayed as a decimal. 
If funding from Palo Alto will always be 1.00 (100%).</t>
  </si>
  <si>
    <t xml:space="preserve">The $ amount of the Credit Enhancement Funds contributed to the Finance Provider Entity's Loss Reserve Account for this Enrolled Financing Agreement from the Palo Alto-funded GGH PA Program Account. 
(LR Contribution $)
</t>
  </si>
  <si>
    <r>
      <t xml:space="preserve">SELECT OPTION:
</t>
    </r>
    <r>
      <rPr>
        <sz val="11"/>
        <rFont val="Calibri"/>
        <family val="2"/>
      </rPr>
      <t>PG&amp;E
SCE
SDG&amp;E
LADWP
SMUD
Anaheim Public Utilities
City of Palo Alto
City of Riverside
City of Roseville
Imperial Irrigation District
Modesto Irrigation District
Turlock Irrigation District
Other (editable)</t>
    </r>
  </si>
  <si>
    <r>
      <t xml:space="preserve">SELECT OPTION:
</t>
    </r>
    <r>
      <rPr>
        <sz val="11"/>
        <rFont val="Calibri"/>
        <family val="2"/>
      </rPr>
      <t xml:space="preserve">
PG&amp;E
SCG
SDG&amp;E
City of Palo Alto
City of Long Beach
Southwest Gas
None
Other (editable)</t>
    </r>
  </si>
  <si>
    <t>L085
Palo Alto Loss Reserve Contribution Amout</t>
  </si>
  <si>
    <t>L084
Palo Alto Funding Ratio</t>
  </si>
  <si>
    <t>Palo Alto LLR</t>
  </si>
  <si>
    <t>Palo Alto LRC Amount</t>
  </si>
  <si>
    <t>L084</t>
  </si>
  <si>
    <t>From Palo Alto H Program Acct</t>
  </si>
  <si>
    <t>CHEEF Palo Alto GGH Program Account</t>
  </si>
  <si>
    <t>How to Fill Out the Itemized Invoice</t>
  </si>
  <si>
    <t>Section 1: Contractor and Project Information</t>
  </si>
  <si>
    <r>
      <t xml:space="preserve">
Enter your company name and CSLB number.
Enter the address where the project is taking place.
</t>
    </r>
    <r>
      <rPr>
        <b/>
        <sz val="16"/>
        <color theme="1"/>
        <rFont val="Calibri"/>
        <family val="2"/>
        <scheme val="minor"/>
      </rPr>
      <t>About to start the project?</t>
    </r>
    <r>
      <rPr>
        <sz val="16"/>
        <color theme="1"/>
        <rFont val="Calibri"/>
        <family val="2"/>
        <scheme val="minor"/>
      </rPr>
      <t xml:space="preserve"> 
Select "Estimate for work"
</t>
    </r>
    <r>
      <rPr>
        <b/>
        <sz val="16"/>
        <color theme="1"/>
        <rFont val="Calibri"/>
        <family val="2"/>
        <scheme val="minor"/>
      </rPr>
      <t xml:space="preserve">Finished with the project and ready to submit the invoice? </t>
    </r>
    <r>
      <rPr>
        <sz val="16"/>
        <color theme="1"/>
        <rFont val="Calibri"/>
        <family val="2"/>
        <scheme val="minor"/>
      </rPr>
      <t xml:space="preserve">
Select "Invoice for work completed"</t>
    </r>
  </si>
  <si>
    <r>
      <rPr>
        <b/>
        <sz val="16"/>
        <color theme="1"/>
        <rFont val="Calibri"/>
        <family val="2"/>
        <scheme val="minor"/>
      </rPr>
      <t xml:space="preserve">P. </t>
    </r>
    <r>
      <rPr>
        <sz val="16"/>
        <color theme="1"/>
        <rFont val="Calibri"/>
        <family val="2"/>
        <scheme val="minor"/>
      </rPr>
      <t xml:space="preserve">Enter any additional non-energy home improvements.
</t>
    </r>
    <r>
      <rPr>
        <i/>
        <sz val="14"/>
        <color theme="1"/>
        <rFont val="Calibri"/>
        <family val="2"/>
        <scheme val="minor"/>
      </rPr>
      <t xml:space="preserve">This could include cabinetry, painting, tiling, landscaping, and more.
</t>
    </r>
    <r>
      <rPr>
        <sz val="16"/>
        <color theme="1"/>
        <rFont val="Calibri"/>
        <family val="2"/>
        <scheme val="minor"/>
      </rPr>
      <t xml:space="preserve">
</t>
    </r>
    <r>
      <rPr>
        <b/>
        <sz val="16"/>
        <color theme="1"/>
        <rFont val="Calibri"/>
        <family val="2"/>
        <scheme val="minor"/>
      </rPr>
      <t xml:space="preserve">Q. </t>
    </r>
    <r>
      <rPr>
        <sz val="16"/>
        <color theme="1"/>
        <rFont val="Calibri"/>
        <family val="2"/>
        <scheme val="minor"/>
      </rPr>
      <t xml:space="preserve">Enter the cost of any non-energy home improvements.
</t>
    </r>
    <r>
      <rPr>
        <b/>
        <sz val="16"/>
        <color theme="1"/>
        <rFont val="Calibri"/>
        <family val="2"/>
        <scheme val="minor"/>
      </rPr>
      <t>R.</t>
    </r>
    <r>
      <rPr>
        <sz val="16"/>
        <color theme="1"/>
        <rFont val="Calibri"/>
        <family val="2"/>
        <scheme val="minor"/>
      </rPr>
      <t xml:space="preserve"> If the non-energy improvement increased the square footage of the home, select "Yes." 
If not, please leave this field as "No."</t>
    </r>
  </si>
  <si>
    <t>Section 5: Total Project Cost</t>
  </si>
  <si>
    <r>
      <rPr>
        <b/>
        <sz val="16"/>
        <color theme="1"/>
        <rFont val="Calibri"/>
        <family val="2"/>
        <scheme val="minor"/>
      </rPr>
      <t>S.</t>
    </r>
    <r>
      <rPr>
        <sz val="16"/>
        <color theme="1"/>
        <rFont val="Calibri"/>
        <family val="2"/>
        <scheme val="minor"/>
      </rPr>
      <t xml:space="preserve"> The total project cost will auto populate based on your entries. </t>
    </r>
  </si>
  <si>
    <t>Launch Date for Palo Alto Funding:</t>
  </si>
  <si>
    <t>Is Palo Alto funding currently active?:</t>
  </si>
  <si>
    <r>
      <rPr>
        <b/>
        <sz val="12"/>
        <color theme="1"/>
        <rFont val="Calibri"/>
        <family val="2"/>
        <scheme val="minor"/>
      </rPr>
      <t xml:space="preserve">B2. </t>
    </r>
    <r>
      <rPr>
        <sz val="12"/>
        <color theme="1"/>
        <rFont val="Calibri"/>
        <family val="2"/>
        <scheme val="minor"/>
      </rPr>
      <t xml:space="preserve">
Fuel Substitution:
Please indicate if the installed measure results in a different fuel use. </t>
    </r>
    <r>
      <rPr>
        <i/>
        <sz val="12"/>
        <color theme="1"/>
        <rFont val="Calibri"/>
        <family val="2"/>
        <scheme val="minor"/>
      </rPr>
      <t>(e.g. a heat pump water heater replacing a gas water heater)</t>
    </r>
  </si>
  <si>
    <r>
      <rPr>
        <b/>
        <sz val="12"/>
        <color theme="1"/>
        <rFont val="Calibri"/>
        <family val="2"/>
        <scheme val="minor"/>
      </rPr>
      <t xml:space="preserve">C. </t>
    </r>
    <r>
      <rPr>
        <sz val="12"/>
        <color theme="1"/>
        <rFont val="Calibri"/>
        <family val="2"/>
        <scheme val="minor"/>
      </rPr>
      <t xml:space="preserve">
Quantity Installed</t>
    </r>
  </si>
  <si>
    <r>
      <rPr>
        <b/>
        <sz val="12"/>
        <color theme="1"/>
        <rFont val="Calibri"/>
        <family val="2"/>
        <scheme val="minor"/>
      </rPr>
      <t xml:space="preserve">F. </t>
    </r>
    <r>
      <rPr>
        <sz val="12"/>
        <color theme="1"/>
        <rFont val="Calibri"/>
        <family val="2"/>
        <scheme val="minor"/>
      </rPr>
      <t>Cost of Legally and Practically Required</t>
    </r>
  </si>
  <si>
    <r>
      <rPr>
        <b/>
        <sz val="12"/>
        <color theme="1"/>
        <rFont val="Calibri"/>
        <family val="2"/>
        <scheme val="minor"/>
      </rPr>
      <t xml:space="preserve">Q. </t>
    </r>
    <r>
      <rPr>
        <sz val="12"/>
        <color theme="1"/>
        <rFont val="Calibri"/>
        <family val="2"/>
        <scheme val="minor"/>
      </rPr>
      <t>Cost of Other Home Improvements</t>
    </r>
  </si>
  <si>
    <r>
      <rPr>
        <b/>
        <sz val="12"/>
        <color theme="1"/>
        <rFont val="Calibri"/>
        <family val="2"/>
        <scheme val="minor"/>
      </rPr>
      <t>R.</t>
    </r>
    <r>
      <rPr>
        <sz val="12"/>
        <color theme="1"/>
        <rFont val="Calibri"/>
        <family val="2"/>
        <scheme val="minor"/>
      </rPr>
      <t xml:space="preserve"> Did this project add square footage to the home? </t>
    </r>
  </si>
  <si>
    <t>1243127015R</t>
  </si>
  <si>
    <t>Are Palo Alto Funds Available?</t>
  </si>
  <si>
    <r>
      <t xml:space="preserve">Has Palo Alto funding launched and is there currently Palo Alto funding available? This is used to determine the source of CE funds for the financing agreement in the case of gas-POU/electric-POU split territory projects.
</t>
    </r>
    <r>
      <rPr>
        <b/>
        <sz val="11"/>
        <rFont val="Calibri"/>
        <family val="2"/>
      </rPr>
      <t xml:space="preserve">SELECT OPTION:
</t>
    </r>
    <r>
      <rPr>
        <sz val="11"/>
        <rFont val="Calibri"/>
        <family val="2"/>
      </rPr>
      <t>Yes
No</t>
    </r>
  </si>
  <si>
    <t>Defaults based on ERD and Palo Alto Launch Date by =IF(ERD&gt;=PaloAlto_Launch_Date, "Yes","No")</t>
  </si>
  <si>
    <t>Palo Alto</t>
  </si>
  <si>
    <t>50% POU E / 50% POU G</t>
  </si>
  <si>
    <t>DiabloV</t>
  </si>
  <si>
    <t>POU G</t>
  </si>
  <si>
    <r>
      <rPr>
        <sz val="11"/>
        <rFont val="Calibri"/>
        <family val="2"/>
      </rPr>
      <t>Enter self installer as "Self-Installer"</t>
    </r>
    <r>
      <rPr>
        <b/>
        <sz val="11"/>
        <rFont val="Calibri"/>
        <family val="2"/>
      </rPr>
      <t xml:space="preserve">
If multiple, override auto-pull from invoice by manually entering and separate with semicolon
Field (c) on Certificate of Completion</t>
    </r>
  </si>
  <si>
    <r>
      <rPr>
        <sz val="11"/>
        <rFont val="Calibri"/>
        <family val="2"/>
      </rPr>
      <t>Enter self installer as "SI"</t>
    </r>
    <r>
      <rPr>
        <b/>
        <sz val="11"/>
        <rFont val="Calibri"/>
        <family val="2"/>
      </rPr>
      <t xml:space="preserve">
If multiple, override auto-pull from invoice by manually entering and separate with semicolon
Field (d) on Certificate of Completion</t>
    </r>
  </si>
  <si>
    <r>
      <rPr>
        <b/>
        <sz val="11"/>
        <rFont val="Calibri"/>
        <family val="2"/>
      </rPr>
      <t xml:space="preserve">SELECT OPTION:
</t>
    </r>
    <r>
      <rPr>
        <sz val="11"/>
        <rFont val="Calibri"/>
        <family val="2"/>
      </rPr>
      <t xml:space="preserve">Yes
No
</t>
    </r>
    <r>
      <rPr>
        <b/>
        <u/>
        <sz val="11"/>
        <rFont val="Calibri"/>
        <family val="2"/>
      </rPr>
      <t>Field (i)</t>
    </r>
    <r>
      <rPr>
        <b/>
        <sz val="11"/>
        <rFont val="Calibri"/>
        <family val="2"/>
      </rPr>
      <t xml:space="preserve"> on Certificate of Completion</t>
    </r>
  </si>
  <si>
    <r>
      <rPr>
        <b/>
        <sz val="11"/>
        <rFont val="Calibri"/>
        <family val="2"/>
      </rPr>
      <t xml:space="preserve">SELECT OPTION 
</t>
    </r>
    <r>
      <rPr>
        <sz val="11"/>
        <rFont val="Calibri"/>
        <family val="2"/>
      </rPr>
      <t xml:space="preserve">
PG&amp;E
SCE
SCG
SDG&amp;E
3CREN
BayREN
IREN
LADWP
SMUD
SoCalREN
</t>
    </r>
    <r>
      <rPr>
        <b/>
        <sz val="11"/>
        <rFont val="Calibri"/>
        <family val="2"/>
      </rPr>
      <t xml:space="preserve">
Field (l) on Certificate of Completion
If other, enter manually. Separate multiple with semicolon</t>
    </r>
  </si>
  <si>
    <r>
      <t>Name of the Rebate or Incentive Program, if there is one</t>
    </r>
    <r>
      <rPr>
        <b/>
        <sz val="11"/>
        <rFont val="Calibri"/>
        <family val="2"/>
        <scheme val="minor"/>
      </rPr>
      <t xml:space="preserve"> 
</t>
    </r>
    <r>
      <rPr>
        <b/>
        <u/>
        <sz val="11"/>
        <rFont val="Calibri"/>
        <family val="2"/>
        <scheme val="minor"/>
      </rPr>
      <t>Field (j)</t>
    </r>
    <r>
      <rPr>
        <b/>
        <sz val="11"/>
        <rFont val="Calibri"/>
        <family val="2"/>
        <scheme val="minor"/>
      </rPr>
      <t xml:space="preserve"> on Certificate of Completion
Separate multiple with semicolon</t>
    </r>
  </si>
  <si>
    <r>
      <t>Only required if it is known</t>
    </r>
    <r>
      <rPr>
        <b/>
        <sz val="11"/>
        <rFont val="Calibri"/>
        <family val="2"/>
      </rPr>
      <t xml:space="preserve"> 
</t>
    </r>
    <r>
      <rPr>
        <b/>
        <u/>
        <sz val="11"/>
        <rFont val="Calibri"/>
        <family val="2"/>
      </rPr>
      <t>Field (k)</t>
    </r>
    <r>
      <rPr>
        <b/>
        <sz val="11"/>
        <rFont val="Calibri"/>
        <family val="2"/>
      </rPr>
      <t xml:space="preserve"> on Certificate of Completion
Separate multiple with semicolon</t>
    </r>
  </si>
  <si>
    <r>
      <t xml:space="preserve">Date that:
a) contractor signs the Certificate of Completion </t>
    </r>
    <r>
      <rPr>
        <b/>
        <sz val="11"/>
        <rFont val="Calibri"/>
        <family val="2"/>
      </rPr>
      <t xml:space="preserve">- </t>
    </r>
    <r>
      <rPr>
        <b/>
        <u/>
        <sz val="11"/>
        <rFont val="Calibri"/>
        <family val="2"/>
      </rPr>
      <t>Field (s)</t>
    </r>
    <r>
      <rPr>
        <sz val="11"/>
        <rFont val="Calibri"/>
        <family val="2"/>
      </rPr>
      <t xml:space="preserve">, or
b) for self-install, the signature date on the Borrower Form - </t>
    </r>
    <r>
      <rPr>
        <b/>
        <u/>
        <sz val="11"/>
        <rFont val="Calibri"/>
        <family val="2"/>
      </rPr>
      <t>Field (h)</t>
    </r>
    <r>
      <rPr>
        <sz val="11"/>
        <rFont val="Calibri"/>
        <family val="2"/>
      </rPr>
      <t xml:space="preserve">
</t>
    </r>
    <r>
      <rPr>
        <b/>
        <sz val="11"/>
        <rFont val="Calibri"/>
        <family val="2"/>
      </rPr>
      <t xml:space="preserve">
Date format: "mm/dd/yyyy"
</t>
    </r>
    <r>
      <rPr>
        <sz val="11"/>
        <rFont val="Calibri"/>
        <family val="2"/>
      </rPr>
      <t xml:space="preserve">
</t>
    </r>
    <r>
      <rPr>
        <b/>
        <sz val="11"/>
        <rFont val="Calibri"/>
        <family val="2"/>
      </rPr>
      <t>Separate multiple with semicolon</t>
    </r>
  </si>
  <si>
    <t>Credit Score</t>
  </si>
  <si>
    <t>700 and below</t>
  </si>
  <si>
    <t>701 and above</t>
  </si>
  <si>
    <t>If  Loan Principal is greater than $5,000:
  20% if borrower qualifies as "Underserved"
  5% for all others. 
If Loan Principal less or equal to $5,000:
  20% if borrower qualifies as "Underserved"
  11% for all others</t>
  </si>
  <si>
    <t>Auto-calc (unless CAEATFA override)
(Confirm if auto-pulled)</t>
  </si>
  <si>
    <r>
      <t xml:space="preserve">CAEATFA will manually check Cenus Tract for loans with Original loan Amount less than or equal to $5000 AND FICO range above 700.
OPTION:
</t>
    </r>
    <r>
      <rPr>
        <sz val="11"/>
        <rFont val="Calibri"/>
        <family val="2"/>
      </rPr>
      <t xml:space="preserve">
Yes - Cens Tr
Yes - Cred Chal
No</t>
    </r>
  </si>
  <si>
    <t xml:space="preserve">Required </t>
  </si>
  <si>
    <t>Optional</t>
  </si>
  <si>
    <r>
      <rPr>
        <sz val="11"/>
        <rFont val="Calibri"/>
        <family val="2"/>
      </rPr>
      <t xml:space="preserve">
</t>
    </r>
    <r>
      <rPr>
        <b/>
        <sz val="11"/>
        <rFont val="Calibri"/>
        <family val="2"/>
      </rPr>
      <t xml:space="preserve">ONLY APPLIES TO MICROLOAN
</t>
    </r>
    <r>
      <rPr>
        <sz val="11"/>
        <rFont val="Calibri"/>
        <family val="2"/>
      </rPr>
      <t xml:space="preserve">
11-digit number in the format 
"</t>
    </r>
    <r>
      <rPr>
        <b/>
        <sz val="11"/>
        <rFont val="Calibri"/>
        <family val="2"/>
      </rPr>
      <t>SS-CCC-TTTT.TT</t>
    </r>
    <r>
      <rPr>
        <sz val="11"/>
        <rFont val="Calibri"/>
        <family val="2"/>
      </rPr>
      <t>"
There should be hyphens between state and county, and again between county and tract.  
There should also be a decimal before last 2 digits of tract</t>
    </r>
  </si>
  <si>
    <t>TR</t>
  </si>
  <si>
    <t>TR-EVCH</t>
  </si>
  <si>
    <t>WH-SOWH</t>
  </si>
  <si>
    <t>SOWH</t>
  </si>
  <si>
    <t>EVCH</t>
  </si>
  <si>
    <r>
      <rPr>
        <b/>
        <sz val="12"/>
        <color theme="1"/>
        <rFont val="Calibri"/>
        <family val="2"/>
        <scheme val="minor"/>
      </rPr>
      <t>B1.</t>
    </r>
    <r>
      <rPr>
        <sz val="12"/>
        <color theme="1"/>
        <rFont val="Calibri"/>
        <family val="2"/>
        <scheme val="minor"/>
      </rPr>
      <t xml:space="preserve">
EEMs Measure Name</t>
    </r>
  </si>
  <si>
    <r>
      <rPr>
        <b/>
        <sz val="12"/>
        <color theme="1"/>
        <rFont val="Calibri"/>
        <family val="2"/>
        <scheme val="minor"/>
      </rPr>
      <t xml:space="preserve">A. </t>
    </r>
    <r>
      <rPr>
        <sz val="12"/>
        <color theme="1"/>
        <rFont val="Calibri"/>
        <family val="2"/>
        <scheme val="minor"/>
      </rPr>
      <t xml:space="preserve">
EEMs ID</t>
    </r>
  </si>
  <si>
    <t>Section 2: Eligible Energy  Measures (EEMs)</t>
  </si>
  <si>
    <r>
      <t>A.</t>
    </r>
    <r>
      <rPr>
        <sz val="16"/>
        <rFont val="Calibri"/>
        <family val="2"/>
        <scheme val="minor"/>
      </rPr>
      <t xml:space="preserve"> Use the EEMs list to find your measure ID. 
Then select the measure ID from the dropdown menus under column A.
</t>
    </r>
    <r>
      <rPr>
        <b/>
        <sz val="16"/>
        <rFont val="Calibri"/>
        <family val="2"/>
        <scheme val="minor"/>
      </rPr>
      <t>B1.</t>
    </r>
    <r>
      <rPr>
        <sz val="16"/>
        <rFont val="Calibri"/>
        <family val="2"/>
        <scheme val="minor"/>
      </rPr>
      <t xml:space="preserve"> Enter the measure name. 
</t>
    </r>
    <r>
      <rPr>
        <i/>
        <sz val="14"/>
        <rFont val="Calibri"/>
        <family val="2"/>
        <scheme val="minor"/>
      </rPr>
      <t>Feel free to include details such as the type of system or brand name.</t>
    </r>
    <r>
      <rPr>
        <sz val="14"/>
        <rFont val="Calibri"/>
        <family val="2"/>
        <scheme val="minor"/>
      </rPr>
      <t xml:space="preserve"> </t>
    </r>
    <r>
      <rPr>
        <sz val="16"/>
        <rFont val="Calibri"/>
        <family val="2"/>
        <scheme val="minor"/>
      </rPr>
      <t xml:space="preserve">
</t>
    </r>
    <r>
      <rPr>
        <b/>
        <sz val="16"/>
        <rFont val="Calibri"/>
        <family val="2"/>
        <scheme val="minor"/>
      </rPr>
      <t xml:space="preserve">B2. </t>
    </r>
    <r>
      <rPr>
        <sz val="16"/>
        <rFont val="Calibri"/>
        <family val="2"/>
        <scheme val="minor"/>
      </rPr>
      <t xml:space="preserve">If you're replacing equipment and the upgrade you installed 
switched the fuel type, then enter "Yes." If not, enter "No."
</t>
    </r>
    <r>
      <rPr>
        <b/>
        <sz val="16"/>
        <rFont val="Calibri"/>
        <family val="2"/>
        <scheme val="minor"/>
      </rPr>
      <t xml:space="preserve">C. </t>
    </r>
    <r>
      <rPr>
        <sz val="16"/>
        <rFont val="Calibri"/>
        <family val="2"/>
        <scheme val="minor"/>
      </rPr>
      <t xml:space="preserve">Enter the amount of equipment you installed. 
</t>
    </r>
    <r>
      <rPr>
        <i/>
        <sz val="14"/>
        <rFont val="Calibri"/>
        <family val="2"/>
        <scheme val="minor"/>
      </rPr>
      <t>Four windows would be "4." A single cool roof would be "1."</t>
    </r>
    <r>
      <rPr>
        <sz val="16"/>
        <rFont val="Calibri"/>
        <family val="2"/>
        <scheme val="minor"/>
      </rPr>
      <t xml:space="preserve">
</t>
    </r>
    <r>
      <rPr>
        <b/>
        <sz val="16"/>
        <rFont val="Calibri"/>
        <family val="2"/>
        <scheme val="minor"/>
      </rPr>
      <t xml:space="preserve">D. </t>
    </r>
    <r>
      <rPr>
        <sz val="16"/>
        <rFont val="Calibri"/>
        <family val="2"/>
        <scheme val="minor"/>
      </rPr>
      <t xml:space="preserve">Enter the cost of the measure.
</t>
    </r>
    <r>
      <rPr>
        <b/>
        <sz val="16"/>
        <rFont val="Calibri"/>
        <family val="2"/>
        <scheme val="minor"/>
      </rPr>
      <t>E.</t>
    </r>
    <r>
      <rPr>
        <sz val="16"/>
        <rFont val="Calibri"/>
        <family val="2"/>
        <scheme val="minor"/>
      </rPr>
      <t xml:space="preserve"> Enter any work that was legally/practically 
required to install the measures. 
</t>
    </r>
    <r>
      <rPr>
        <i/>
        <sz val="14"/>
        <rFont val="Calibri"/>
        <family val="2"/>
        <scheme val="minor"/>
      </rPr>
      <t xml:space="preserve">This could include repairing drywall, pulling permits, upgrading an 
electrical panel, pouring a concrete pad, etc.
</t>
    </r>
    <r>
      <rPr>
        <sz val="14"/>
        <rFont val="Calibri"/>
        <family val="2"/>
        <scheme val="minor"/>
      </rPr>
      <t xml:space="preserve">
</t>
    </r>
    <r>
      <rPr>
        <b/>
        <sz val="16"/>
        <rFont val="Calibri"/>
        <family val="2"/>
        <scheme val="minor"/>
      </rPr>
      <t xml:space="preserve">F. </t>
    </r>
    <r>
      <rPr>
        <sz val="16"/>
        <rFont val="Calibri"/>
        <family val="2"/>
        <scheme val="minor"/>
      </rPr>
      <t xml:space="preserve">Enter the cost of completing the work that was 
legally/practically required.
</t>
    </r>
    <r>
      <rPr>
        <b/>
        <sz val="16"/>
        <rFont val="Calibri"/>
        <family val="2"/>
        <scheme val="minor"/>
      </rPr>
      <t>G.</t>
    </r>
    <r>
      <rPr>
        <sz val="16"/>
        <rFont val="Calibri"/>
        <family val="2"/>
        <scheme val="minor"/>
      </rPr>
      <t xml:space="preserve"> This total will auto populate based on your entries so far.</t>
    </r>
  </si>
  <si>
    <t>Click here for the EEMs list!</t>
  </si>
  <si>
    <r>
      <rPr>
        <b/>
        <sz val="12"/>
        <color theme="1"/>
        <rFont val="Calibri"/>
        <family val="2"/>
        <scheme val="minor"/>
      </rPr>
      <t xml:space="preserve">D. </t>
    </r>
    <r>
      <rPr>
        <sz val="12"/>
        <color theme="1"/>
        <rFont val="Calibri"/>
        <family val="2"/>
        <scheme val="minor"/>
      </rPr>
      <t xml:space="preserve">
Total Cost for this EEM and necessary installation. 
</t>
    </r>
    <r>
      <rPr>
        <i/>
        <sz val="12"/>
        <color theme="1"/>
        <rFont val="Calibri"/>
        <family val="2"/>
        <scheme val="minor"/>
      </rPr>
      <t>(e.g. 2 water heaters and installation = $2,500)</t>
    </r>
  </si>
  <si>
    <r>
      <rPr>
        <b/>
        <sz val="12"/>
        <color theme="1"/>
        <rFont val="Calibri"/>
        <family val="2"/>
        <scheme val="minor"/>
      </rPr>
      <t>E.</t>
    </r>
    <r>
      <rPr>
        <sz val="12"/>
        <color theme="1"/>
        <rFont val="Calibri"/>
        <family val="2"/>
        <scheme val="minor"/>
      </rPr>
      <t xml:space="preserve"> Legally and/or practically required components, not listed above, necessary to complete the project:</t>
    </r>
    <r>
      <rPr>
        <i/>
        <sz val="12"/>
        <color theme="1"/>
        <rFont val="Calibri"/>
        <family val="2"/>
        <scheme val="minor"/>
      </rPr>
      <t xml:space="preserve">
   </t>
    </r>
    <r>
      <rPr>
        <i/>
        <sz val="10"/>
        <color theme="1"/>
        <rFont val="Calibri"/>
        <family val="2"/>
        <scheme val="minor"/>
      </rPr>
      <t xml:space="preserve"> (Such as permit costs, labor/installation costs, or clean up. If all costs have been included in above EEMs, leave this section blank)</t>
    </r>
  </si>
  <si>
    <r>
      <rPr>
        <b/>
        <sz val="12"/>
        <color theme="1"/>
        <rFont val="Calibri"/>
        <family val="2"/>
        <scheme val="minor"/>
      </rPr>
      <t>G.</t>
    </r>
    <r>
      <rPr>
        <sz val="12"/>
        <color theme="1"/>
        <rFont val="Calibri"/>
        <family val="2"/>
        <scheme val="minor"/>
      </rPr>
      <t xml:space="preserve"> Total Cost of EEMs and legally and practically required to complete the project: 
</t>
    </r>
    <r>
      <rPr>
        <i/>
        <sz val="10"/>
        <color theme="1"/>
        <rFont val="Calibri"/>
        <family val="2"/>
        <scheme val="minor"/>
      </rPr>
      <t>(Cost of everything in Boxes D and F)</t>
    </r>
  </si>
  <si>
    <t>Permissible claim-eligible cost total 
(If Total Cost of EEMs &amp; legally&amp; practically required&lt;= 70%, indicate Total Laon Amount)</t>
  </si>
  <si>
    <t>Enrolled loan cannot exceed total project cost</t>
  </si>
  <si>
    <t>CE</t>
  </si>
  <si>
    <t>OT-SEMS</t>
  </si>
  <si>
    <t>SEMS</t>
  </si>
  <si>
    <t>General Calcs and Processing</t>
  </si>
  <si>
    <t xml:space="preserve">Secured or Unsecured? </t>
  </si>
  <si>
    <r>
      <rPr>
        <b/>
        <sz val="11"/>
        <rFont val="Calibri"/>
        <family val="2"/>
      </rPr>
      <t xml:space="preserve">SELECT OPTION:
</t>
    </r>
    <r>
      <rPr>
        <sz val="11"/>
        <rFont val="Calibri"/>
        <family val="2"/>
      </rPr>
      <t xml:space="preserve">
UCC-1
Unsecured
</t>
    </r>
  </si>
  <si>
    <t>CE-BATT</t>
  </si>
  <si>
    <t>CE-SOBT</t>
  </si>
  <si>
    <t>SOBT</t>
  </si>
  <si>
    <t>BATT</t>
  </si>
  <si>
    <t>UCC-1</t>
  </si>
  <si>
    <t>Number of units in which EEMs were undertaken</t>
  </si>
  <si>
    <t>Does the site already have solar installation?</t>
  </si>
  <si>
    <t>Concatenated EEMs IDS
For use in Lender Entry Tab</t>
  </si>
  <si>
    <r>
      <rPr>
        <b/>
        <sz val="12"/>
        <color theme="1"/>
        <rFont val="Calibri"/>
        <family val="2"/>
        <scheme val="minor"/>
      </rPr>
      <t>P.</t>
    </r>
    <r>
      <rPr>
        <sz val="12"/>
        <color theme="1"/>
        <rFont val="Calibri"/>
        <family val="2"/>
        <scheme val="minor"/>
      </rPr>
      <t xml:space="preserve"> Includes items such as painting, cabinets, landscaping, or membership fees, not included in Part 2.
</t>
    </r>
    <r>
      <rPr>
        <b/>
        <sz val="12"/>
        <color theme="1"/>
        <rFont val="Calibri"/>
        <family val="2"/>
        <scheme val="minor"/>
      </rPr>
      <t>Not Eligible:</t>
    </r>
    <r>
      <rPr>
        <sz val="12"/>
        <color theme="1"/>
        <rFont val="Calibri"/>
        <family val="2"/>
        <scheme val="minor"/>
      </rPr>
      <t xml:space="preserve"> EEMs or less-than-eligible measures, furniture or other household items.</t>
    </r>
  </si>
  <si>
    <t>added 4/15/24</t>
  </si>
  <si>
    <t xml:space="preserve">Total amount of the loan principal that is eligible to be covered by the credit enhancement
</t>
  </si>
  <si>
    <t>[If Total Cost of EEMs and directly related/Claim Eligible&gt;=0.7,put Claim Eligible Principal amount otherwise indicate Error]</t>
  </si>
  <si>
    <t>[Auto-calculation based on whether Lender indicated Borrower qualifies as Credit-Challenged]</t>
  </si>
  <si>
    <t>EEMs ID(s) 
of installed measure(s)</t>
  </si>
  <si>
    <r>
      <t xml:space="preserve">Total cost of improvements that were legally or practically required to complete the project, if not already included in the cost of any specific EEM (i.e., asbestos removal, permit fees, etc.)  
</t>
    </r>
    <r>
      <rPr>
        <b/>
        <sz val="11"/>
        <rFont val="Calibri"/>
        <family val="2"/>
      </rPr>
      <t xml:space="preserve">Included in the 70%
</t>
    </r>
    <r>
      <rPr>
        <sz val="11"/>
        <rFont val="Calibri"/>
        <family val="2"/>
      </rPr>
      <t>Auto-pulled from the Itemized Invoice by default</t>
    </r>
  </si>
  <si>
    <r>
      <rPr>
        <b/>
        <sz val="11"/>
        <rFont val="Calibri"/>
        <family val="2"/>
      </rPr>
      <t xml:space="preserve">Total Project Cost =
</t>
    </r>
    <r>
      <rPr>
        <sz val="11"/>
        <rFont val="Calibri"/>
        <family val="2"/>
      </rPr>
      <t>EEMs +
Legal and Practical measures + 
Other Home Improvements +
Distributed Generation
(irrespective of what's financed)</t>
    </r>
  </si>
  <si>
    <t>T010
# of units in which EEMs were undertaken</t>
  </si>
  <si>
    <t>EEMs Measure Name(s)</t>
  </si>
  <si>
    <t>EEMs Quantity(ies) Installed</t>
  </si>
  <si>
    <t>EEMs Fuel Substitute</t>
  </si>
  <si>
    <t>Individual EEM(s) installed cost(s)</t>
  </si>
  <si>
    <t>Total Cost of 
EEMs + Legally/Practically Required</t>
  </si>
  <si>
    <r>
      <t xml:space="preserve">Total cost of Individual EEMs installed costs and Legal and Practical measures necessary to Complete Project 
</t>
    </r>
    <r>
      <rPr>
        <b/>
        <sz val="11"/>
        <rFont val="Calibri"/>
        <family val="2"/>
      </rPr>
      <t xml:space="preserve">Included in the 70%
</t>
    </r>
    <r>
      <rPr>
        <sz val="11"/>
        <rFont val="Calibri"/>
        <family val="2"/>
      </rPr>
      <t>Auto-pulled from the Itemized Invoice by default</t>
    </r>
  </si>
  <si>
    <t>Percentage of EEMs total cost attributed to electricity as the fuel source, displayed as a decimal. This ratio is independent of the utility(ies), and based on the makeup of individual EEMs costs. Measures that save both gas and electricity have pre-assigned ratios to allocate their cost between electric and gas savings, subject to change for future projects. 
The Electric Cost Ratio (L070) + Gas Cost Ratio (L071) will always add up to 1.00 (100%).</t>
  </si>
  <si>
    <t>Percentage of EEMs total cost attributed to gas as the fuel source, displayed as a decimal. This ratio is independent of the utility(ies), and based on the makeup of individual EEMs costs. Measures that save both gas and electricity have pre-assigned ratios to allocate their cost between electric and gas savings, subject to change for future projects. 
The Electric Cost Ratio (L070) + Gas Cost Ratio (L071) will always add up to 1.00 (100%).</t>
  </si>
  <si>
    <t>Percentage of EEMs total cost attributed to a fuel provided by PG&amp;E, SCE, SCG, and/or SDG&amp;E, displayed as a decimal. Measures that save both fuels have pre-assigned ratios, and this includes the proportion(s) provided by a Big 4 IOU. 
The Project Big 4 IOU Cost Ratio (L072) + Project Other Utility Electric Cost Ratio (L073) + Project Other Utility Gas Cost Ratio (L074) will always add up to 1.00 (100%).</t>
  </si>
  <si>
    <t>Percentage of EEMs total cost attributed to electricity that is not provided by PG&amp;E, SCE, or SDG&amp;E, displayed as a decimal. Measures that save both fuels have pre-assigned ratios, and this includes the electric proportion not provided by a Big 4 IOU. 
The Project Big 4 IOU Cost Ratio (L072) + Project Other Utility Electric Cost Ratio (L073) + Project Other Utility Gas Cost Ratio (L074) will always add up to 1.00 (100%).</t>
  </si>
  <si>
    <t>Percentage of EEMs total cost attributed to gas that is not provided by PG&amp;E, SCG, or SDG&amp;E, displayed as a decimal. Measures that save both fuels have pre-assigned ratios, and this includes the gas proportion not provided by a Big 4 IOU. 
The Project Big 4 IOU Cost Ratio (L072) + Project Other Utility Electric Cost Ratio (L073) + Project Other Utility Gas Cost Ratio (L074) will always add up to 1.00 (100%).</t>
  </si>
  <si>
    <t>Percentage of EEMs total cost attributed to electricity provided by a Publicly Owned Utility or Co-op, displayed as a decimal. This percentage will equal the Project Other Utility Electric Cost Ratio (L073) when the electric utility is a POU.</t>
  </si>
  <si>
    <t>Percentage of EEMs total cost attributed to electricity provided by an investor-owned utility that is not PG&amp;E, SCE, or SDG&amp;E, displayed as a decimal. This percentage will equal the Project Other Utility Electric Cost Ratio (L073) when the electric utility is a Small IOU, such as Liberty Utilities or Bear Valley Electric Service.</t>
  </si>
  <si>
    <t>Percentage of EEMs total cost attributed to gas provided by a Publicly Owned Utility or Co-op, displayed as a decimal. This percentage will equal the Project Other Gas Electric Cost Ratio (L074) when the gas utility is a POU.</t>
  </si>
  <si>
    <t xml:space="preserve">Percentage of EEMs total cost attributed to electricity provided by an investor-owned utility that is not PG&amp;E, SCG, or SDG&amp;E, displayed as a decimal. This percentage will equal the Project Other Utility Gas Cost Ratio (L074) when the gas utility is a Small IOU, such as Southwest Gas. </t>
  </si>
  <si>
    <t>E001
EEMs ID</t>
  </si>
  <si>
    <t>E002
EEMs Measure Name</t>
  </si>
  <si>
    <t>E004
Individual EEMs Quantity</t>
  </si>
  <si>
    <t>P025
Total Cost of EEMs and Directly Related Items</t>
  </si>
  <si>
    <t xml:space="preserve"> P030
Scope of work Non-ESM / Non-EEM / Non-DG SOW Cost</t>
  </si>
  <si>
    <t>E006
Individual EEM Fuel Substitute</t>
  </si>
  <si>
    <t>E003
Individual EEMs installed costs</t>
  </si>
  <si>
    <t>Enrolled loan must be comprised of 70% EEMs and legally and practically required components</t>
  </si>
  <si>
    <t>Total cost of EEMs and Directly Related, Legally/Practically Required</t>
  </si>
  <si>
    <t>EEMs and Directly Related financed as % of Lender's proposed CEFA</t>
  </si>
  <si>
    <t>[(Total EEMs and Directly Related) / (Lender's proposed Claim-Eligible Principal Amount)]</t>
  </si>
  <si>
    <t>Individual EEM cost, auto-populated from the Itemized Invoice.</t>
  </si>
  <si>
    <t>EEM Cost</t>
  </si>
  <si>
    <t>Proportion of EEM cost attributed to electricity. 
"Both" measures are split 50/50.</t>
  </si>
  <si>
    <t>Proportion of EEM cost attributed to gas. 
"Both" measures are split 50/50.</t>
  </si>
  <si>
    <t>Proportion of EEM cost attributed to fuel provided by a Big 4 IOU.
"Both" measures have pre-assigned ratios, each portion assigned to the type of utility providing that fuel.</t>
  </si>
  <si>
    <t>Proportion of EEM cost attributed to electricity not from a Big 4 IOU.
"Both" measures have pre-assigned ratios, each portion assigned to the type of utility providing that fuel.</t>
  </si>
  <si>
    <t>Proportion of EEM cost attributed to gas not from a Big 4 IOU.
"Both" measures have pre-assigned ratios, each portion assigned to the type of utility providing that fuel.</t>
  </si>
  <si>
    <t>Proportion of EEM cost attributed to electricity from a POU. 
"Both" measures have pre-assigned ratios, each portion assigned to the type of utility providing that fuel.</t>
  </si>
  <si>
    <t>Proportion of EEM cost attributed to electricity from a Small IOU. 
"Both" measures have pre-assigned ratios, each portion assigned to the type of utility providing that fuel.</t>
  </si>
  <si>
    <t>Proportion of EEM cost attributed to gas from a POU. "Both" measures have pre-assigned ratios, each portion assigned to the type of utility providing that fuel.</t>
  </si>
  <si>
    <t>Proportion of EEM cost attributed to gas from a Small IOU. "Both" measures have pre-assigned ratios, each portion assigned to the type of utility providing that fuel.</t>
  </si>
  <si>
    <t>Proportion of EEM cost attributed to utility and fuel source combination associated with IOU PPP funds, per pre-determined methodology.</t>
  </si>
  <si>
    <t>Proportion of EEM cost attributed to utility and fuel source combination associated with TECH funds, per pre-determined methodology.</t>
  </si>
  <si>
    <t>EEM cost attributed to utility and fuel source combination associated with Palo Alto funds.</t>
  </si>
  <si>
    <t>EEMs</t>
  </si>
  <si>
    <t>Ratio of total EEMs cost:</t>
  </si>
  <si>
    <r>
      <rPr>
        <b/>
        <sz val="11"/>
        <color theme="1"/>
        <rFont val="Calibri"/>
        <family val="2"/>
        <scheme val="minor"/>
      </rPr>
      <t>Allocation Methodology:</t>
    </r>
    <r>
      <rPr>
        <sz val="11"/>
        <color theme="1"/>
        <rFont val="Calibri"/>
        <family val="2"/>
        <scheme val="minor"/>
      </rPr>
      <t xml:space="preserve">
Electric EEMs assigned to Electric Cost Ratio, gas EEMs assigned to Gas Cost Ratio, and "both" EEMs split 50/50 across both fuel cost ratios. Subject to change.</t>
    </r>
  </si>
  <si>
    <r>
      <rPr>
        <b/>
        <sz val="11"/>
        <color theme="1"/>
        <rFont val="Calibri"/>
        <family val="2"/>
        <scheme val="minor"/>
      </rPr>
      <t>Allocation Methodology:</t>
    </r>
    <r>
      <rPr>
        <sz val="11"/>
        <color theme="1"/>
        <rFont val="Calibri"/>
        <family val="2"/>
        <scheme val="minor"/>
      </rPr>
      <t xml:space="preserve">
Electric EEMs and gas EEMs assigned entirely to the type of utility providing that fuel. "Both" EEMs split 50/50 across the utilities providing each fuel, except where both fuels are provided by a Big 4 IOU or one fuel is provided by a Big 4 IOU and the other utility is "None". Subject to change.</t>
    </r>
  </si>
  <si>
    <t>EEM Fuel Type Eligibility</t>
  </si>
  <si>
    <t>EEM Fuel</t>
  </si>
  <si>
    <t>EEMs Categories</t>
  </si>
  <si>
    <t>T029
Site Contains Solar</t>
  </si>
  <si>
    <t xml:space="preserve">L062
Financing Agreement Secured or Unsecured
</t>
  </si>
  <si>
    <t>AP-DRYH</t>
  </si>
  <si>
    <t>DRYH</t>
  </si>
  <si>
    <t xml:space="preserve">Lender
</t>
  </si>
  <si>
    <r>
      <t>2. Eligible Energy Measures (EEMs)</t>
    </r>
    <r>
      <rPr>
        <b/>
        <i/>
        <sz val="14"/>
        <color theme="1"/>
        <rFont val="Calibri"/>
        <family val="2"/>
        <scheme val="minor"/>
      </rPr>
      <t xml:space="preserve"> and directly related labor, materials and equipment </t>
    </r>
  </si>
  <si>
    <r>
      <rPr>
        <b/>
        <sz val="12"/>
        <color theme="1"/>
        <rFont val="Calibri"/>
        <family val="2"/>
        <scheme val="minor"/>
      </rPr>
      <t xml:space="preserve">K. </t>
    </r>
    <r>
      <rPr>
        <sz val="12"/>
        <color theme="1"/>
        <rFont val="Calibri"/>
        <family val="2"/>
        <scheme val="minor"/>
      </rPr>
      <t xml:space="preserve">Does the site already have solar panels? 
    </t>
    </r>
    <r>
      <rPr>
        <i/>
        <sz val="10"/>
        <color theme="1"/>
        <rFont val="Calibri"/>
        <family val="2"/>
        <scheme val="minor"/>
      </rPr>
      <t>Projects are only eligible for CE-BATT (battery storage expansion) if the property already has solar panels.</t>
    </r>
  </si>
  <si>
    <r>
      <rPr>
        <b/>
        <sz val="12"/>
        <color theme="1"/>
        <rFont val="Calibri"/>
        <family val="2"/>
        <scheme val="minor"/>
      </rPr>
      <t>S.</t>
    </r>
    <r>
      <rPr>
        <sz val="12"/>
        <color theme="1"/>
        <rFont val="Calibri"/>
        <family val="2"/>
        <scheme val="minor"/>
      </rPr>
      <t xml:space="preserve"> Total Project Cost</t>
    </r>
    <r>
      <rPr>
        <i/>
        <sz val="12"/>
        <color theme="1"/>
        <rFont val="Calibri"/>
        <family val="2"/>
        <scheme val="minor"/>
      </rPr>
      <t xml:space="preserve">
</t>
    </r>
    <r>
      <rPr>
        <i/>
        <sz val="10"/>
        <color theme="1"/>
        <rFont val="Calibri"/>
        <family val="2"/>
        <scheme val="minor"/>
      </rPr>
      <t>(Total of Boxes G &amp; Q)</t>
    </r>
  </si>
  <si>
    <t>Defaults to "Unsecured"</t>
  </si>
  <si>
    <t>TECH Bridge LRC Amount</t>
  </si>
  <si>
    <t>CHEEF TECH Bridge GGH Program Account</t>
  </si>
  <si>
    <t>TECH Bridge LLR</t>
  </si>
  <si>
    <t>TECH Bridge Funding Ratio</t>
  </si>
  <si>
    <t>CEC Funding Ratio</t>
  </si>
  <si>
    <t>L095</t>
  </si>
  <si>
    <t>L097</t>
  </si>
  <si>
    <t>Measure Heat Pump</t>
  </si>
  <si>
    <t>Heat Pump Measures</t>
  </si>
  <si>
    <t>Yes HP</t>
  </si>
  <si>
    <t>No HP</t>
  </si>
  <si>
    <t>Proportion of EEM cost attributed to utility and fuel source combination associated with TECH Bridge funds, per pre-determined methodology.</t>
  </si>
  <si>
    <t>The percentage of the Loss Reserve Contribution Amount and transactional costs funded from TECH funds, displayed as a decimal. 
The PPP Funding Ratio (L066) + TECH Funding Ratio (L067)+TECH Bridge Funding Ratio (L095) will always add up to 1.00 (100%), unless/until CAEATFA obtains another source of funding.</t>
  </si>
  <si>
    <t>The percentage of the Loss Reserve Contribution Amount and transactional costs funded from TECH funds, displayed as a decimal. 
The PPP Funding Ratio (L066) + TECH Funding Ratio (L067) +TECH Bridge Funding Ratio (L095)will always add up to 1.00 (100%), unless/until CAEATFA obtains another source of funding.</t>
  </si>
  <si>
    <t>TECH Bridge Loss Reserve Contribution Amount</t>
  </si>
  <si>
    <t>Proportion of EEM cost attributed to utility and fuel source combination associated with CEC funds, per pre-determined methodology.</t>
  </si>
  <si>
    <r>
      <t xml:space="preserve">Has CEC funding launched and is there currently TECH funding available? This is used to determine the source of CE funds for the financing agreement in the case of gas-IOU/electric-POU split territory projects.
</t>
    </r>
    <r>
      <rPr>
        <b/>
        <sz val="11"/>
        <rFont val="Calibri"/>
        <family val="2"/>
      </rPr>
      <t xml:space="preserve">SELECT OPTION:
</t>
    </r>
    <r>
      <rPr>
        <sz val="11"/>
        <rFont val="Calibri"/>
        <family val="2"/>
      </rPr>
      <t>Yes
No</t>
    </r>
  </si>
  <si>
    <r>
      <rPr>
        <b/>
        <sz val="11"/>
        <color theme="1"/>
        <rFont val="Calibri"/>
        <family val="2"/>
        <scheme val="minor"/>
      </rPr>
      <t>Allocation Methodology:</t>
    </r>
    <r>
      <rPr>
        <sz val="11"/>
        <color theme="1"/>
        <rFont val="Calibri"/>
        <family val="2"/>
        <scheme val="minor"/>
      </rPr>
      <t xml:space="preserve">
Electric EEMs assigned to PPP unless Electric Utility Type "POU or Co-op". Gas EEMs assigned to PPP. "Both" measures assigned to PPP because entire measure cost is eligible with or without other funding sources. Subject to change.
All eligible EEMS installed within the city of Palo Alto will have a 1.000 funding by Palo Alto
TECH Bridge funds only apply to Heat Pump related EEMs, while TECH funds apply for other Eligible EEMs in POU Electric Utility and IOU Gas Utility. </t>
    </r>
  </si>
  <si>
    <t>From TECH Bridge Program Acct</t>
  </si>
  <si>
    <t>CHEEF CEC GGH Program Account</t>
  </si>
  <si>
    <t>1243127016R</t>
  </si>
  <si>
    <t>1243127017R</t>
  </si>
  <si>
    <t>SELF HELP FCU</t>
  </si>
  <si>
    <t>130</t>
  </si>
  <si>
    <t>The percentage of the Loss Reserve Contribution Amount and transactional costs funded from TECH funds, displayed as a decimal. 
The PPP Funding Ratio (L066) + CEC Funding Ratio (L097) will always add up to 1.00 (100%), unless/until CAEATFA obtains another source of funding.</t>
  </si>
  <si>
    <t>L095 
TECH Bridge Funding Ratio</t>
  </si>
  <si>
    <t>L097
CEC Funding Ratio</t>
  </si>
  <si>
    <t>CEC Loss Reserve Contribution Amount</t>
  </si>
  <si>
    <t>The $ amount of the Credit Enhancement Funds contributed to the Finance Provider Entity's Loss Reserve Account for this Enrolled Financing Agreement from the CEC Program Account. 
Product of
(LR Contribution $)
x
(CEC Funding Ratio)</t>
  </si>
  <si>
    <t>The $ amount of the Credit Enhancement Funds contributed to the Finance Provider Entity's Loss Reserve Account for this Enrolled Financing Agreement from the GGH TECH-Bridge funded  Program Account. 
Product of
(LR Contribution $)
x
(TECH Bridge Funding Ratio)</t>
  </si>
  <si>
    <t>L096
TECH Birdge Loss Reserve Contribution Amount</t>
  </si>
  <si>
    <t>L098
CEC Loss Reserve Contribution Amount</t>
  </si>
  <si>
    <t>Section 4: Other Home Improvement Projects</t>
  </si>
  <si>
    <t>3. Site Has Solar Install</t>
  </si>
  <si>
    <t>Section 3: Site Has Solar Install</t>
  </si>
  <si>
    <r>
      <t xml:space="preserve">K. </t>
    </r>
    <r>
      <rPr>
        <sz val="16"/>
        <rFont val="Calibri"/>
        <family val="2"/>
        <scheme val="minor"/>
      </rPr>
      <t xml:space="preserve">If CE-BATT "Battery Storage" is entered in section 2A, then section 3K will turn red. 
</t>
    </r>
    <r>
      <rPr>
        <i/>
        <sz val="16"/>
        <rFont val="Calibri"/>
        <family val="2"/>
        <scheme val="minor"/>
      </rPr>
      <t xml:space="preserve">This is a reminder to confirm the proof of NEM on the utility bill for presence of 
pre-existing solar PV, and then change the field to "Yes" using the dropdown menu. </t>
    </r>
  </si>
  <si>
    <t>From XXX Program Acct</t>
  </si>
  <si>
    <t>XXX LLR</t>
  </si>
  <si>
    <t>XXX LRC Amount</t>
  </si>
  <si>
    <t>XXX Funding Ratio</t>
  </si>
  <si>
    <t>Are XXX Funds Available?</t>
  </si>
  <si>
    <t>SHFCU</t>
  </si>
  <si>
    <t>CHEEF GGH SELFHELP FCU LOSS RESERVE</t>
  </si>
  <si>
    <t>added back 03/21</t>
  </si>
  <si>
    <r>
      <t xml:space="preserve">            ITEMIZED INVOICE   </t>
    </r>
    <r>
      <rPr>
        <sz val="10"/>
        <color theme="1"/>
        <rFont val="Calibri"/>
        <family val="2"/>
        <scheme val="minor"/>
      </rPr>
      <t xml:space="preserve">Updated 5/22/2024 </t>
    </r>
  </si>
  <si>
    <t>CAEATFA-CHEEF-1220-E3    Rev. 2024.5.22</t>
  </si>
  <si>
    <t>1243127014R</t>
  </si>
  <si>
    <r>
      <rPr>
        <b/>
        <sz val="12"/>
        <color theme="1"/>
        <rFont val="Calibri"/>
        <family val="2"/>
        <scheme val="minor"/>
      </rPr>
      <t>H.</t>
    </r>
    <r>
      <rPr>
        <sz val="12"/>
        <color theme="1"/>
        <rFont val="Calibri"/>
        <family val="2"/>
        <scheme val="minor"/>
      </rPr>
      <t xml:space="preserve"> Is this a re-finance?</t>
    </r>
  </si>
  <si>
    <t>If yes, what is the original CHEEF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</si>
</sst>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8" formatCode="&quot;$&quot;#,##0.00_);[Red]\(&quot;$&quot;#,##0.00\)"/>
    <numFmt numFmtId="44" formatCode="_(&quot;$&quot;* #,##0.00_);_(&quot;$&quot;* \(#,##0.00\);_(&quot;$&quot;* &quot;-&quot;??_);_(@_)"/>
    <numFmt numFmtId="43" formatCode="_(* #,##0.00_);_(* \(#,##0.00\);_(* &quot;-&quot;??_);_(@_)"/>
    <numFmt numFmtId="164" formatCode="0.0000"/>
    <numFmt numFmtId="165" formatCode="_([$$-409]* #,##0.00_);_([$$-409]* \(#,##0.00\);_([$$-409]* &quot;-&quot;??_);_(@_)"/>
    <numFmt numFmtId="166" formatCode="&quot;$&quot;#,##0.00"/>
    <numFmt numFmtId="167" formatCode="[&lt;=9999999]###\-####;\(###\)\ ###\-####"/>
    <numFmt numFmtId="168" formatCode="00000"/>
    <numFmt numFmtId="169" formatCode="000"/>
    <numFmt numFmtId="170" formatCode="00&quot;-&quot;000&quot;-&quot;0000&quot;.&quot;00"/>
    <numFmt numFmtId="171" formatCode="0.000"/>
    <numFmt numFmtId="172" formatCode="0.00000"/>
  </numFmts>
  <fonts count="83"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b/>
      <sz val="14"/>
      <color theme="1"/>
      <name val="Calibri"/>
      <family val="2"/>
      <scheme val="minor"/>
    </font>
    <font>
      <sz val="11"/>
      <color rgb="FF002060"/>
      <name val="Trebuchet MS"/>
      <family val="2"/>
    </font>
    <font>
      <i/>
      <sz val="11"/>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color rgb="FF002060"/>
      <name val="Calibri"/>
      <family val="2"/>
      <scheme val="minor"/>
    </font>
    <font>
      <sz val="12"/>
      <color rgb="FF002060"/>
      <name val="Trebuchet MS"/>
      <family val="2"/>
    </font>
    <font>
      <b/>
      <sz val="12"/>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b/>
      <sz val="12"/>
      <color theme="0"/>
      <name val="Calibri"/>
      <family val="2"/>
      <scheme val="minor"/>
    </font>
    <font>
      <sz val="16"/>
      <color theme="0"/>
      <name val="Calibri"/>
      <family val="2"/>
      <scheme val="minor"/>
    </font>
    <font>
      <i/>
      <sz val="11"/>
      <color theme="0"/>
      <name val="Calibri"/>
      <family val="2"/>
      <scheme val="minor"/>
    </font>
    <font>
      <sz val="11"/>
      <color rgb="FF000000"/>
      <name val="Calibri"/>
      <family val="2"/>
      <scheme val="minor"/>
    </font>
    <font>
      <u/>
      <sz val="11"/>
      <color theme="10"/>
      <name val="Calibri"/>
      <family val="2"/>
      <scheme val="minor"/>
    </font>
    <font>
      <i/>
      <sz val="10"/>
      <color theme="1"/>
      <name val="Calibri"/>
      <family val="2"/>
      <scheme val="minor"/>
    </font>
    <font>
      <sz val="8"/>
      <color theme="1"/>
      <name val="Calibri"/>
      <family val="2"/>
      <scheme val="minor"/>
    </font>
    <font>
      <b/>
      <strike/>
      <sz val="11"/>
      <color theme="1"/>
      <name val="Calibri"/>
      <family val="2"/>
      <scheme val="minor"/>
    </font>
    <font>
      <b/>
      <sz val="11"/>
      <name val="Calibri"/>
      <family val="2"/>
    </font>
    <font>
      <sz val="11"/>
      <name val="Calibri"/>
      <family val="2"/>
    </font>
    <font>
      <b/>
      <u/>
      <sz val="11"/>
      <name val="Calibri"/>
      <family val="2"/>
    </font>
    <font>
      <sz val="11"/>
      <color rgb="FF002060"/>
      <name val="Calibri"/>
      <family val="2"/>
    </font>
    <font>
      <sz val="11"/>
      <color theme="1"/>
      <name val="Calibri"/>
      <family val="2"/>
    </font>
    <font>
      <b/>
      <u/>
      <sz val="11"/>
      <color theme="1"/>
      <name val="Calibri"/>
      <family val="2"/>
      <scheme val="minor"/>
    </font>
    <font>
      <sz val="11"/>
      <color rgb="FFDD1919"/>
      <name val="Calibri"/>
      <family val="2"/>
      <scheme val="minor"/>
    </font>
    <font>
      <b/>
      <u/>
      <sz val="11"/>
      <name val="Calibri"/>
      <family val="2"/>
      <scheme val="minor"/>
    </font>
    <font>
      <b/>
      <sz val="11"/>
      <color theme="1" tint="0.499984740745262"/>
      <name val="Calibri"/>
      <family val="2"/>
      <scheme val="minor"/>
    </font>
    <font>
      <sz val="11"/>
      <color theme="1" tint="0.499984740745262"/>
      <name val="Calibri"/>
      <family val="2"/>
      <scheme val="minor"/>
    </font>
    <font>
      <strike/>
      <sz val="11"/>
      <color theme="1"/>
      <name val="Calibri"/>
      <family val="2"/>
      <scheme val="minor"/>
    </font>
    <font>
      <b/>
      <sz val="11"/>
      <color rgb="FF0000CC"/>
      <name val="Calibri"/>
      <family val="2"/>
      <scheme val="minor"/>
    </font>
    <font>
      <sz val="11"/>
      <color rgb="FF0000CC"/>
      <name val="Calibri"/>
      <family val="2"/>
    </font>
    <font>
      <sz val="11"/>
      <color rgb="FF0000CC"/>
      <name val="Calibri"/>
      <family val="2"/>
      <scheme val="minor"/>
    </font>
    <font>
      <i/>
      <sz val="11"/>
      <name val="Calibri"/>
      <family val="2"/>
    </font>
    <font>
      <strike/>
      <sz val="11"/>
      <color rgb="FF44546A"/>
      <name val="Calibri"/>
      <family val="2"/>
    </font>
    <font>
      <sz val="11"/>
      <color rgb="FF44546A"/>
      <name val="Calibri"/>
      <family val="2"/>
    </font>
    <font>
      <b/>
      <sz val="10"/>
      <name val="Calibri"/>
      <family val="2"/>
      <scheme val="minor"/>
    </font>
    <font>
      <sz val="8"/>
      <color rgb="FF000000"/>
      <name val="Tahoma"/>
      <family val="2"/>
    </font>
    <font>
      <sz val="8"/>
      <name val="Calibri"/>
      <family val="2"/>
      <scheme val="minor"/>
    </font>
    <font>
      <sz val="10"/>
      <name val="Calibri"/>
      <family val="2"/>
      <scheme val="minor"/>
    </font>
    <font>
      <sz val="10"/>
      <color rgb="FF002060"/>
      <name val="Trebuchet MS"/>
      <family val="2"/>
    </font>
    <font>
      <sz val="8"/>
      <color theme="0" tint="-0.499984740745262"/>
      <name val="Calibri"/>
      <family val="2"/>
      <scheme val="minor"/>
    </font>
    <font>
      <b/>
      <sz val="11"/>
      <color theme="0"/>
      <name val="Calibri"/>
      <family val="2"/>
      <scheme val="minor"/>
    </font>
    <font>
      <sz val="11"/>
      <color theme="9" tint="-0.249977111117893"/>
      <name val="Calibri"/>
      <family val="2"/>
      <scheme val="minor"/>
    </font>
    <font>
      <sz val="8"/>
      <name val="Calibri"/>
      <family val="2"/>
    </font>
    <font>
      <b/>
      <sz val="8"/>
      <name val="Calibri"/>
      <family val="2"/>
    </font>
    <font>
      <sz val="12"/>
      <name val="Calibri"/>
      <family val="2"/>
      <scheme val="minor"/>
    </font>
    <font>
      <sz val="11"/>
      <name val="Trebuchet MS"/>
      <family val="2"/>
    </font>
    <font>
      <sz val="12"/>
      <name val="Trebuchet MS"/>
      <family val="2"/>
    </font>
    <font>
      <sz val="8"/>
      <color theme="1"/>
      <name val="Calibri"/>
      <family val="2"/>
    </font>
    <font>
      <sz val="12"/>
      <color theme="0"/>
      <name val="Calibri"/>
      <family val="2"/>
      <scheme val="minor"/>
    </font>
    <font>
      <b/>
      <sz val="28"/>
      <color theme="1"/>
      <name val="Calibri"/>
      <family val="2"/>
      <scheme val="minor"/>
    </font>
    <font>
      <sz val="28"/>
      <color theme="1"/>
      <name val="Calibri"/>
      <family val="2"/>
      <scheme val="minor"/>
    </font>
    <font>
      <b/>
      <sz val="16"/>
      <color rgb="FF235C37"/>
      <name val="Calibri"/>
      <family val="2"/>
      <scheme val="minor"/>
    </font>
    <font>
      <sz val="16"/>
      <color theme="1"/>
      <name val="Calibri"/>
      <family val="2"/>
      <scheme val="minor"/>
    </font>
    <font>
      <b/>
      <sz val="16"/>
      <color theme="1"/>
      <name val="Calibri"/>
      <family val="2"/>
      <scheme val="minor"/>
    </font>
    <font>
      <b/>
      <sz val="16"/>
      <name val="Calibri"/>
      <family val="2"/>
      <scheme val="minor"/>
    </font>
    <font>
      <sz val="16"/>
      <name val="Calibri"/>
      <family val="2"/>
      <scheme val="minor"/>
    </font>
    <font>
      <i/>
      <sz val="14"/>
      <name val="Calibri"/>
      <family val="2"/>
      <scheme val="minor"/>
    </font>
    <font>
      <sz val="14"/>
      <name val="Calibri"/>
      <family val="2"/>
      <scheme val="minor"/>
    </font>
    <font>
      <b/>
      <sz val="14"/>
      <name val="Calibri"/>
      <family val="2"/>
      <scheme val="minor"/>
    </font>
    <font>
      <b/>
      <u/>
      <sz val="18"/>
      <color theme="10"/>
      <name val="Calibri"/>
      <family val="2"/>
      <scheme val="minor"/>
    </font>
    <font>
      <i/>
      <sz val="14"/>
      <color theme="1"/>
      <name val="Calibri"/>
      <family val="2"/>
      <scheme val="minor"/>
    </font>
    <font>
      <b/>
      <u/>
      <sz val="20"/>
      <color theme="10"/>
      <name val="Calibri"/>
      <family val="2"/>
      <scheme val="minor"/>
    </font>
    <font>
      <sz val="10"/>
      <name val="Trebuchet MS"/>
      <family val="2"/>
    </font>
    <font>
      <b/>
      <i/>
      <sz val="14"/>
      <color theme="1"/>
      <name val="Calibri"/>
      <family val="2"/>
      <scheme val="minor"/>
    </font>
    <font>
      <i/>
      <sz val="12"/>
      <color theme="1"/>
      <name val="Calibri"/>
      <family val="2"/>
      <scheme val="minor"/>
    </font>
    <font>
      <sz val="12"/>
      <color theme="1"/>
      <name val="Trebuchet MS"/>
      <family val="2"/>
    </font>
    <font>
      <sz val="11"/>
      <color theme="0"/>
      <name val="Calibri"/>
      <family val="2"/>
      <scheme val="minor"/>
    </font>
    <font>
      <sz val="11"/>
      <color rgb="FF0000FF"/>
      <name val="Calibri"/>
      <family val="2"/>
      <scheme val="minor"/>
    </font>
    <font>
      <sz val="11"/>
      <name val="Calibri"/>
      <family val="2"/>
      <scheme val="minor"/>
    </font>
    <font>
      <sz val="11"/>
      <color rgb="FF0000FF"/>
      <name val="Calibri"/>
      <family val="2"/>
    </font>
    <font>
      <sz val="9"/>
      <color theme="0" tint="-0.499984740745262"/>
      <name val="Calibri"/>
      <family val="2"/>
      <scheme val="minor"/>
    </font>
    <font>
      <b/>
      <sz val="9"/>
      <color theme="0" tint="-0.499984740745262"/>
      <name val="Calibri"/>
      <family val="2"/>
      <scheme val="minor"/>
    </font>
    <font>
      <i/>
      <sz val="16"/>
      <name val="Calibri"/>
      <family val="2"/>
      <scheme val="minor"/>
    </font>
    <font>
      <sz val="12"/>
      <color theme="0"/>
      <name val="Trebuchet MS"/>
      <family val="2"/>
    </font>
    <font>
      <sz val="11"/>
      <color rgb="FFE6AEEC"/>
      <name val="Trebuchet MS"/>
      <family val="2"/>
    </font>
  </fonts>
  <fills count="2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B1A0C7"/>
        <bgColor rgb="FF000000"/>
      </patternFill>
    </fill>
    <fill>
      <patternFill patternType="solid">
        <fgColor rgb="FFD8E4BC"/>
        <bgColor rgb="FF000000"/>
      </patternFill>
    </fill>
    <fill>
      <patternFill patternType="solid">
        <fgColor rgb="FFFFFF00"/>
        <bgColor indexed="64"/>
      </patternFill>
    </fill>
    <fill>
      <patternFill patternType="solid">
        <fgColor theme="6" tint="0.59999389629810485"/>
        <bgColor rgb="FF000000"/>
      </patternFill>
    </fill>
    <fill>
      <patternFill patternType="solid">
        <fgColor theme="3" tint="0.59999389629810485"/>
        <bgColor rgb="FF000000"/>
      </patternFill>
    </fill>
    <fill>
      <patternFill patternType="solid">
        <fgColor theme="6" tint="0.59999389629810485"/>
        <bgColor indexed="64"/>
      </patternFill>
    </fill>
    <fill>
      <patternFill patternType="solid">
        <fgColor theme="7" tint="0.39997558519241921"/>
        <bgColor rgb="FF000000"/>
      </patternFill>
    </fill>
    <fill>
      <patternFill patternType="solid">
        <fgColor theme="7" tint="0.39997558519241921"/>
        <bgColor indexed="64"/>
      </patternFill>
    </fill>
    <fill>
      <patternFill patternType="solid">
        <fgColor theme="7" tint="0.79998168889431442"/>
        <bgColor rgb="FF000000"/>
      </patternFill>
    </fill>
    <fill>
      <patternFill patternType="solid">
        <fgColor theme="6" tint="0.79998168889431442"/>
        <bgColor rgb="FF000000"/>
      </patternFill>
    </fill>
    <fill>
      <patternFill patternType="solid">
        <fgColor theme="6" tint="0.79998168889431442"/>
        <bgColor indexed="64"/>
      </patternFill>
    </fill>
    <fill>
      <patternFill patternType="solid">
        <fgColor theme="6" tint="0.39997558519241921"/>
        <bgColor rgb="FF000000"/>
      </patternFill>
    </fill>
    <fill>
      <patternFill patternType="solid">
        <fgColor rgb="FF646469"/>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bgColor indexed="64"/>
      </patternFill>
    </fill>
    <fill>
      <patternFill patternType="solid">
        <fgColor theme="0"/>
        <bgColor indexed="64"/>
      </patternFill>
    </fill>
    <fill>
      <patternFill patternType="solid">
        <fgColor rgb="FFE6AEEC"/>
        <bgColor indexed="64"/>
      </patternFill>
    </fill>
  </fills>
  <borders count="10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medium">
        <color indexed="64"/>
      </right>
      <top/>
      <bottom style="medium">
        <color indexed="64"/>
      </bottom>
      <diagonal/>
    </border>
    <border>
      <left/>
      <right/>
      <top style="double">
        <color indexed="64"/>
      </top>
      <bottom style="double">
        <color indexed="64"/>
      </bottom>
      <diagonal/>
    </border>
    <border>
      <left style="thin">
        <color indexed="64"/>
      </left>
      <right style="medium">
        <color indexed="64"/>
      </right>
      <top/>
      <bottom style="thick">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auto="1"/>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thin">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right style="medium">
        <color indexed="64"/>
      </right>
      <top style="thin">
        <color theme="4" tint="0.39997558519241921"/>
      </top>
      <bottom/>
      <diagonal/>
    </border>
    <border>
      <left style="thin">
        <color indexed="64"/>
      </left>
      <right style="dashed">
        <color indexed="64"/>
      </right>
      <top style="thin">
        <color indexed="64"/>
      </top>
      <bottom style="thin">
        <color indexed="64"/>
      </bottom>
      <diagonal/>
    </border>
    <border>
      <left style="thin">
        <color indexed="64"/>
      </left>
      <right/>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ck">
        <color auto="1"/>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thin">
        <color theme="0" tint="-0.34998626667073579"/>
      </left>
      <right/>
      <top/>
      <bottom/>
      <diagonal/>
    </border>
    <border>
      <left/>
      <right/>
      <top style="thin">
        <color theme="4" tint="0.39997558519241921"/>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0" fontId="1" fillId="0" borderId="0">
      <alignment vertical="center"/>
    </xf>
  </cellStyleXfs>
  <cellXfs count="621">
    <xf numFmtId="0" fontId="0" fillId="0" borderId="0" xfId="0"/>
    <xf numFmtId="0" fontId="0" fillId="0" borderId="0" xfId="0" applyAlignment="1">
      <alignment wrapText="1"/>
    </xf>
    <xf numFmtId="0" fontId="0" fillId="0" borderId="0" xfId="0" applyAlignment="1">
      <alignment vertical="top" wrapText="1"/>
    </xf>
    <xf numFmtId="0" fontId="0" fillId="0" borderId="33" xfId="0" applyBorder="1"/>
    <xf numFmtId="0" fontId="0" fillId="0" borderId="0" xfId="0" quotePrefix="1" applyAlignment="1">
      <alignment wrapText="1"/>
    </xf>
    <xf numFmtId="0" fontId="0" fillId="0" borderId="34" xfId="0" applyBorder="1"/>
    <xf numFmtId="0" fontId="0" fillId="0" borderId="0" xfId="0" applyAlignment="1">
      <alignment vertical="center"/>
    </xf>
    <xf numFmtId="0" fontId="0" fillId="0" borderId="0" xfId="0" applyAlignment="1">
      <alignment vertical="center" wrapText="1"/>
    </xf>
    <xf numFmtId="0" fontId="9" fillId="0" borderId="2" xfId="0" applyFont="1" applyBorder="1" applyAlignment="1">
      <alignment horizontal="center" vertical="center"/>
    </xf>
    <xf numFmtId="0" fontId="16" fillId="0" borderId="17" xfId="0" applyFont="1" applyBorder="1" applyAlignment="1">
      <alignment vertical="center"/>
    </xf>
    <xf numFmtId="0" fontId="16" fillId="0" borderId="6" xfId="0" applyFont="1" applyBorder="1" applyAlignment="1">
      <alignment vertical="center"/>
    </xf>
    <xf numFmtId="44" fontId="16" fillId="0" borderId="18" xfId="1" applyFont="1" applyBorder="1" applyAlignment="1" applyProtection="1">
      <alignment horizontal="right" vertical="center"/>
    </xf>
    <xf numFmtId="0" fontId="16" fillId="0" borderId="47" xfId="0" applyFont="1" applyBorder="1" applyAlignment="1">
      <alignment horizontal="left" vertical="center" indent="1"/>
    </xf>
    <xf numFmtId="0" fontId="0" fillId="0" borderId="27" xfId="0" applyBorder="1"/>
    <xf numFmtId="0" fontId="0" fillId="3" borderId="11" xfId="0" applyFill="1" applyBorder="1"/>
    <xf numFmtId="0" fontId="15" fillId="0" borderId="30" xfId="0" applyFont="1" applyBorder="1" applyAlignment="1">
      <alignment vertical="center"/>
    </xf>
    <xf numFmtId="0" fontId="0" fillId="0" borderId="1" xfId="0" applyBorder="1" applyAlignment="1">
      <alignment vertical="center"/>
    </xf>
    <xf numFmtId="44" fontId="15" fillId="0" borderId="31" xfId="0" applyNumberFormat="1" applyFont="1" applyBorder="1" applyAlignment="1">
      <alignment horizontal="right" vertical="center"/>
    </xf>
    <xf numFmtId="0" fontId="23" fillId="0" borderId="0" xfId="0" applyFont="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0" fillId="0" borderId="0" xfId="0" applyProtection="1">
      <protection hidden="1"/>
    </xf>
    <xf numFmtId="0" fontId="0" fillId="0" borderId="0" xfId="0" applyAlignment="1" applyProtection="1">
      <alignment horizontal="left" vertical="top"/>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3" borderId="0" xfId="0" applyFill="1" applyAlignment="1" applyProtection="1">
      <alignment horizontal="center"/>
      <protection hidden="1"/>
    </xf>
    <xf numFmtId="0" fontId="0" fillId="3" borderId="0" xfId="0" applyFill="1" applyProtection="1">
      <protection hidden="1"/>
    </xf>
    <xf numFmtId="9" fontId="16" fillId="0" borderId="32" xfId="2" applyFont="1" applyBorder="1" applyAlignment="1" applyProtection="1">
      <alignment horizontal="right" vertical="center"/>
    </xf>
    <xf numFmtId="0" fontId="25" fillId="15" borderId="2" xfId="0" applyFont="1" applyFill="1" applyBorder="1" applyAlignment="1">
      <alignment horizontal="center" vertical="center" wrapText="1"/>
    </xf>
    <xf numFmtId="0" fontId="2" fillId="0" borderId="0" xfId="0" applyFont="1" applyAlignment="1">
      <alignment horizontal="left" vertical="center" wrapText="1"/>
    </xf>
    <xf numFmtId="0" fontId="11" fillId="0" borderId="0" xfId="0" applyFont="1" applyAlignment="1">
      <alignment vertical="center" wrapText="1"/>
    </xf>
    <xf numFmtId="0" fontId="0" fillId="0" borderId="28" xfId="0" applyBorder="1" applyAlignment="1">
      <alignment vertical="center"/>
    </xf>
    <xf numFmtId="0" fontId="0" fillId="0" borderId="33" xfId="0" applyBorder="1" applyAlignment="1">
      <alignment vertical="center"/>
    </xf>
    <xf numFmtId="0" fontId="0" fillId="0" borderId="30" xfId="0" applyBorder="1" applyAlignment="1">
      <alignment vertical="center"/>
    </xf>
    <xf numFmtId="0" fontId="4" fillId="3" borderId="0" xfId="0" applyFont="1" applyFill="1" applyAlignment="1">
      <alignment vertical="center"/>
    </xf>
    <xf numFmtId="1" fontId="0" fillId="0" borderId="0" xfId="0" applyNumberFormat="1" applyAlignment="1">
      <alignment vertical="center"/>
    </xf>
    <xf numFmtId="0" fontId="0" fillId="10" borderId="33" xfId="0" applyFill="1" applyBorder="1" applyAlignment="1">
      <alignment vertical="center"/>
    </xf>
    <xf numFmtId="0" fontId="30" fillId="0" borderId="0" xfId="0" applyFont="1" applyAlignment="1">
      <alignment vertical="center"/>
    </xf>
    <xf numFmtId="0" fontId="30" fillId="0" borderId="0" xfId="0" applyFont="1" applyAlignment="1">
      <alignment vertical="center" wrapText="1"/>
    </xf>
    <xf numFmtId="0" fontId="0" fillId="10" borderId="0" xfId="0" applyFill="1" applyAlignment="1">
      <alignment vertical="center" wrapText="1"/>
    </xf>
    <xf numFmtId="0" fontId="0" fillId="10" borderId="22" xfId="0" applyFill="1" applyBorder="1" applyAlignment="1">
      <alignment vertical="center" wrapText="1"/>
    </xf>
    <xf numFmtId="0" fontId="0" fillId="10" borderId="34" xfId="0" applyFill="1" applyBorder="1" applyAlignment="1">
      <alignment vertical="center"/>
    </xf>
    <xf numFmtId="0" fontId="28" fillId="12" borderId="2" xfId="0" applyFont="1" applyFill="1" applyBorder="1" applyAlignment="1">
      <alignment horizontal="center" vertical="top" wrapText="1"/>
    </xf>
    <xf numFmtId="8" fontId="26" fillId="12" borderId="2" xfId="1" applyNumberFormat="1" applyFont="1" applyFill="1" applyBorder="1" applyAlignment="1">
      <alignment horizontal="center" vertical="top" wrapText="1"/>
    </xf>
    <xf numFmtId="44" fontId="26" fillId="12" borderId="2" xfId="1" applyFont="1" applyFill="1" applyBorder="1" applyAlignment="1">
      <alignment horizontal="center" vertical="top" wrapText="1"/>
    </xf>
    <xf numFmtId="44" fontId="26" fillId="12" borderId="2" xfId="0" applyNumberFormat="1" applyFont="1" applyFill="1" applyBorder="1" applyAlignment="1">
      <alignment horizontal="center" vertical="top" wrapText="1"/>
    </xf>
    <xf numFmtId="14" fontId="26" fillId="12" borderId="2" xfId="0" applyNumberFormat="1" applyFont="1" applyFill="1" applyBorder="1" applyAlignment="1">
      <alignment horizontal="center" vertical="top" wrapText="1"/>
    </xf>
    <xf numFmtId="0" fontId="29" fillId="12" borderId="2" xfId="0" applyFont="1" applyFill="1" applyBorder="1" applyAlignment="1">
      <alignment horizontal="center" vertical="top" wrapText="1"/>
    </xf>
    <xf numFmtId="0" fontId="9" fillId="0" borderId="2" xfId="0" applyFont="1" applyBorder="1" applyAlignment="1">
      <alignment horizontal="center" vertical="center" wrapText="1"/>
    </xf>
    <xf numFmtId="0" fontId="3" fillId="0" borderId="2" xfId="0" applyFont="1" applyBorder="1" applyAlignment="1">
      <alignment horizontal="center" vertical="center" wrapText="1"/>
    </xf>
    <xf numFmtId="10" fontId="26" fillId="12" borderId="2" xfId="2" applyNumberFormat="1" applyFont="1" applyFill="1" applyBorder="1" applyAlignment="1">
      <alignment horizontal="center" vertical="top" wrapText="1"/>
    </xf>
    <xf numFmtId="0" fontId="0" fillId="0" borderId="0" xfId="0" applyAlignment="1">
      <alignment vertical="top"/>
    </xf>
    <xf numFmtId="0" fontId="25" fillId="17" borderId="2" xfId="0" applyFont="1" applyFill="1" applyBorder="1" applyAlignment="1">
      <alignment horizontal="center" vertical="center" wrapText="1"/>
    </xf>
    <xf numFmtId="0" fontId="26" fillId="12" borderId="49" xfId="0" applyFont="1" applyFill="1" applyBorder="1" applyAlignment="1">
      <alignment horizontal="center" vertical="top" wrapText="1"/>
    </xf>
    <xf numFmtId="0" fontId="0" fillId="0" borderId="48" xfId="0" applyBorder="1" applyAlignment="1">
      <alignment vertical="center"/>
    </xf>
    <xf numFmtId="49" fontId="37" fillId="0" borderId="2" xfId="0" applyNumberFormat="1" applyFont="1" applyBorder="1" applyAlignment="1" applyProtection="1">
      <alignment horizontal="center" vertical="center" wrapText="1"/>
      <protection locked="0" hidden="1"/>
    </xf>
    <xf numFmtId="0" fontId="36" fillId="0" borderId="0" xfId="0" applyFont="1" applyAlignment="1">
      <alignment horizontal="center" vertical="center"/>
    </xf>
    <xf numFmtId="0" fontId="25" fillId="14" borderId="2"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9" borderId="2" xfId="0" applyFont="1" applyFill="1" applyBorder="1" applyAlignment="1">
      <alignment horizontal="center" vertical="center" wrapText="1"/>
    </xf>
    <xf numFmtId="0" fontId="30" fillId="0" borderId="17" xfId="0" applyFont="1" applyBorder="1" applyAlignment="1">
      <alignment vertical="center"/>
    </xf>
    <xf numFmtId="0" fontId="0" fillId="0" borderId="0" xfId="0" applyAlignment="1" applyProtection="1">
      <alignment wrapText="1"/>
      <protection hidden="1"/>
    </xf>
    <xf numFmtId="0" fontId="21" fillId="0" borderId="0" xfId="4"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11" fillId="0" borderId="0" xfId="0" applyFont="1" applyAlignment="1" applyProtection="1">
      <alignment vertical="center" wrapText="1"/>
      <protection hidden="1"/>
    </xf>
    <xf numFmtId="0" fontId="0" fillId="0" borderId="17" xfId="0" applyBorder="1" applyAlignment="1">
      <alignment vertical="center"/>
    </xf>
    <xf numFmtId="0" fontId="30" fillId="0" borderId="22" xfId="0" applyFont="1" applyBorder="1"/>
    <xf numFmtId="0" fontId="30" fillId="0" borderId="18"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wrapText="1"/>
    </xf>
    <xf numFmtId="0" fontId="35" fillId="0" borderId="6" xfId="0" applyFont="1" applyBorder="1" applyAlignment="1">
      <alignment vertical="center"/>
    </xf>
    <xf numFmtId="0" fontId="30" fillId="0" borderId="22" xfId="0" applyFont="1" applyBorder="1" applyAlignment="1">
      <alignment wrapText="1"/>
    </xf>
    <xf numFmtId="0" fontId="0" fillId="0" borderId="34" xfId="0" applyBorder="1" applyAlignment="1">
      <alignment wrapText="1"/>
    </xf>
    <xf numFmtId="0" fontId="0" fillId="0" borderId="33" xfId="0" applyBorder="1" applyAlignment="1">
      <alignment wrapText="1"/>
    </xf>
    <xf numFmtId="0" fontId="0" fillId="0" borderId="34" xfId="0" applyBorder="1" applyAlignment="1">
      <alignment vertical="center"/>
    </xf>
    <xf numFmtId="0" fontId="30" fillId="0" borderId="22" xfId="0" applyFont="1" applyBorder="1" applyAlignment="1">
      <alignment vertical="center" wrapText="1"/>
    </xf>
    <xf numFmtId="0" fontId="2" fillId="2" borderId="3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3" borderId="44" xfId="0" applyFill="1" applyBorder="1" applyAlignment="1" applyProtection="1">
      <alignment vertical="center" wrapText="1"/>
      <protection hidden="1"/>
    </xf>
    <xf numFmtId="0" fontId="0" fillId="3" borderId="45" xfId="0" applyFill="1" applyBorder="1" applyAlignment="1" applyProtection="1">
      <alignment vertical="center"/>
      <protection hidden="1"/>
    </xf>
    <xf numFmtId="2" fontId="2" fillId="0" borderId="0" xfId="0" applyNumberFormat="1" applyFont="1" applyAlignment="1" applyProtection="1">
      <alignment vertical="center" wrapText="1"/>
      <protection hidden="1"/>
    </xf>
    <xf numFmtId="0" fontId="0" fillId="0" borderId="0" xfId="0" applyAlignment="1" applyProtection="1">
      <alignment horizontal="center" vertical="center"/>
      <protection hidden="1"/>
    </xf>
    <xf numFmtId="44" fontId="6" fillId="0" borderId="0" xfId="1" applyFont="1" applyBorder="1" applyAlignment="1" applyProtection="1">
      <alignment horizontal="center" vertical="center" wrapText="1"/>
      <protection hidden="1"/>
    </xf>
    <xf numFmtId="1" fontId="0" fillId="0" borderId="0" xfId="0" applyNumberFormat="1" applyAlignment="1" applyProtection="1">
      <alignment horizontal="left" vertical="center" wrapText="1"/>
      <protection hidden="1"/>
    </xf>
    <xf numFmtId="0" fontId="17" fillId="5" borderId="0" xfId="0" applyFont="1" applyFill="1" applyAlignment="1">
      <alignment vertical="center" wrapText="1"/>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31" fillId="0" borderId="0" xfId="0" applyFont="1" applyAlignment="1">
      <alignment vertical="center" wrapText="1"/>
    </xf>
    <xf numFmtId="0" fontId="8" fillId="0" borderId="0" xfId="0" applyFont="1" applyAlignment="1">
      <alignment vertical="center" wrapText="1"/>
    </xf>
    <xf numFmtId="0" fontId="9" fillId="0" borderId="48" xfId="0" applyFont="1" applyBorder="1" applyAlignment="1">
      <alignment horizontal="right" vertical="center" wrapText="1"/>
    </xf>
    <xf numFmtId="2" fontId="25" fillId="14" borderId="2" xfId="0" applyNumberFormat="1" applyFont="1" applyFill="1" applyBorder="1" applyAlignment="1">
      <alignment horizontal="center" vertical="center" wrapText="1"/>
    </xf>
    <xf numFmtId="164" fontId="25" fillId="14" borderId="2" xfId="0" applyNumberFormat="1"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6" fillId="8" borderId="2" xfId="0" applyFont="1" applyFill="1" applyBorder="1" applyAlignment="1">
      <alignment horizontal="center" vertical="center" wrapText="1"/>
    </xf>
    <xf numFmtId="2" fontId="26" fillId="8" borderId="2" xfId="0" applyNumberFormat="1" applyFont="1" applyFill="1" applyBorder="1" applyAlignment="1">
      <alignment horizontal="center" vertical="center" wrapText="1"/>
    </xf>
    <xf numFmtId="0" fontId="26" fillId="14" borderId="2" xfId="0" applyFont="1" applyFill="1" applyBorder="1" applyAlignment="1">
      <alignment horizontal="center" vertical="center" wrapText="1"/>
    </xf>
    <xf numFmtId="0" fontId="2" fillId="15" borderId="2" xfId="0" applyFont="1" applyFill="1" applyBorder="1" applyAlignment="1">
      <alignment horizontal="center" vertical="center" wrapText="1"/>
    </xf>
    <xf numFmtId="164" fontId="26" fillId="8" borderId="2" xfId="0" applyNumberFormat="1"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 fillId="18" borderId="2"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26" fillId="6" borderId="2" xfId="0" applyFont="1" applyFill="1" applyBorder="1" applyAlignment="1">
      <alignment horizontal="center" vertical="center" wrapText="1"/>
    </xf>
    <xf numFmtId="0" fontId="26" fillId="19"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0" xfId="0" applyFont="1" applyAlignment="1">
      <alignment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4" fillId="0" borderId="0" xfId="0" applyFont="1" applyAlignment="1">
      <alignment vertical="center"/>
    </xf>
    <xf numFmtId="9" fontId="0" fillId="0" borderId="0" xfId="0" applyNumberFormat="1" applyAlignment="1">
      <alignment vertical="center"/>
    </xf>
    <xf numFmtId="0" fontId="30" fillId="0" borderId="0" xfId="0" applyFont="1" applyAlignment="1">
      <alignment horizontal="left" vertical="center" wrapText="1"/>
    </xf>
    <xf numFmtId="0" fontId="0" fillId="3" borderId="70" xfId="0" applyFill="1" applyBorder="1" applyAlignment="1" applyProtection="1">
      <alignment vertical="center"/>
      <protection hidden="1"/>
    </xf>
    <xf numFmtId="0" fontId="9" fillId="0" borderId="0" xfId="0" applyFont="1" applyAlignment="1">
      <alignment vertical="center"/>
    </xf>
    <xf numFmtId="0" fontId="9" fillId="3" borderId="0" xfId="0" applyFont="1" applyFill="1" applyAlignment="1">
      <alignment vertical="center"/>
    </xf>
    <xf numFmtId="0" fontId="0" fillId="0" borderId="0" xfId="0" applyAlignment="1">
      <alignment horizontal="right" vertical="center"/>
    </xf>
    <xf numFmtId="44" fontId="0" fillId="3" borderId="29" xfId="0" applyNumberFormat="1" applyFill="1" applyBorder="1" applyAlignment="1">
      <alignment horizontal="right" vertical="center"/>
    </xf>
    <xf numFmtId="44" fontId="0" fillId="3" borderId="32" xfId="0" applyNumberFormat="1" applyFill="1" applyBorder="1" applyAlignment="1">
      <alignment horizontal="right" vertical="center"/>
    </xf>
    <xf numFmtId="43" fontId="0" fillId="0" borderId="0" xfId="0" applyNumberFormat="1" applyAlignment="1">
      <alignment horizontal="right" vertical="center"/>
    </xf>
    <xf numFmtId="44" fontId="9" fillId="4" borderId="29" xfId="0" applyNumberFormat="1" applyFont="1" applyFill="1" applyBorder="1" applyAlignment="1">
      <alignment horizontal="right" vertical="center"/>
    </xf>
    <xf numFmtId="44" fontId="9" fillId="3" borderId="29" xfId="0" applyNumberFormat="1" applyFont="1" applyFill="1" applyBorder="1" applyAlignment="1">
      <alignment horizontal="right" vertical="center"/>
    </xf>
    <xf numFmtId="9" fontId="1" fillId="3" borderId="29" xfId="2" applyFont="1" applyFill="1" applyBorder="1" applyAlignment="1">
      <alignment horizontal="right" vertical="center"/>
    </xf>
    <xf numFmtId="0" fontId="9" fillId="0" borderId="11" xfId="0" applyFont="1" applyBorder="1"/>
    <xf numFmtId="0" fontId="16" fillId="0" borderId="30" xfId="0" applyFont="1" applyBorder="1" applyAlignment="1">
      <alignment vertical="center"/>
    </xf>
    <xf numFmtId="0" fontId="16" fillId="0" borderId="1" xfId="0" applyFont="1" applyBorder="1" applyAlignment="1">
      <alignment vertical="center"/>
    </xf>
    <xf numFmtId="44" fontId="16" fillId="0" borderId="31" xfId="1" applyFont="1" applyBorder="1" applyAlignment="1" applyProtection="1">
      <alignment horizontal="right" vertical="center"/>
    </xf>
    <xf numFmtId="0" fontId="0" fillId="0" borderId="18" xfId="0" applyBorder="1" applyAlignment="1">
      <alignment horizontal="center" vertical="center"/>
    </xf>
    <xf numFmtId="0" fontId="2" fillId="0" borderId="0" xfId="0" applyFont="1" applyAlignment="1">
      <alignment vertical="center" wrapText="1"/>
    </xf>
    <xf numFmtId="44" fontId="12" fillId="20" borderId="67" xfId="1" applyFont="1" applyFill="1" applyBorder="1" applyAlignment="1" applyProtection="1">
      <alignment vertical="center" wrapText="1"/>
    </xf>
    <xf numFmtId="0" fontId="26" fillId="12" borderId="2" xfId="0" applyFont="1" applyFill="1" applyBorder="1" applyAlignment="1">
      <alignment horizontal="center" vertical="top" wrapText="1"/>
    </xf>
    <xf numFmtId="0" fontId="35" fillId="3" borderId="0" xfId="0" applyFont="1" applyFill="1" applyAlignment="1">
      <alignment vertical="center"/>
    </xf>
    <xf numFmtId="0" fontId="0" fillId="3" borderId="0" xfId="0" applyFill="1" applyAlignment="1">
      <alignment vertical="center"/>
    </xf>
    <xf numFmtId="0" fontId="40" fillId="3" borderId="0" xfId="0" applyFont="1" applyFill="1" applyAlignment="1">
      <alignment vertical="center"/>
    </xf>
    <xf numFmtId="0" fontId="41" fillId="3" borderId="0" xfId="0" applyFont="1" applyFill="1" applyAlignment="1">
      <alignment vertical="center"/>
    </xf>
    <xf numFmtId="0" fontId="0" fillId="0" borderId="0" xfId="0" applyAlignment="1">
      <alignment horizontal="center"/>
    </xf>
    <xf numFmtId="9" fontId="0" fillId="0" borderId="29" xfId="0" applyNumberFormat="1" applyBorder="1" applyAlignment="1">
      <alignment horizontal="center" vertical="center"/>
    </xf>
    <xf numFmtId="9" fontId="0" fillId="0" borderId="31" xfId="0" applyNumberFormat="1" applyBorder="1" applyAlignment="1">
      <alignment horizontal="center" vertical="center"/>
    </xf>
    <xf numFmtId="9" fontId="0" fillId="10" borderId="0" xfId="0" applyNumberFormat="1" applyFill="1" applyAlignment="1">
      <alignment horizontal="left" vertical="center"/>
    </xf>
    <xf numFmtId="0" fontId="3" fillId="3" borderId="0" xfId="0" applyFont="1" applyFill="1" applyAlignment="1">
      <alignment vertical="center"/>
    </xf>
    <xf numFmtId="0" fontId="26" fillId="3" borderId="0" xfId="0" applyFont="1" applyFill="1" applyAlignment="1">
      <alignment vertical="center"/>
    </xf>
    <xf numFmtId="0" fontId="2" fillId="3" borderId="0" xfId="0" applyFont="1" applyFill="1" applyAlignment="1">
      <alignment vertical="center"/>
    </xf>
    <xf numFmtId="0" fontId="2" fillId="0" borderId="6" xfId="0" applyFont="1" applyBorder="1" applyAlignment="1">
      <alignment horizontal="left" vertical="center" wrapText="1"/>
    </xf>
    <xf numFmtId="0" fontId="2" fillId="0" borderId="48" xfId="0" applyFont="1" applyBorder="1" applyAlignment="1">
      <alignment vertical="center" wrapText="1"/>
    </xf>
    <xf numFmtId="0" fontId="0" fillId="21" borderId="76" xfId="0" applyFill="1" applyBorder="1" applyAlignment="1">
      <alignment vertical="center"/>
    </xf>
    <xf numFmtId="0" fontId="0" fillId="0" borderId="76" xfId="0" applyBorder="1" applyAlignment="1">
      <alignment vertical="center"/>
    </xf>
    <xf numFmtId="49" fontId="2" fillId="3" borderId="0" xfId="0" applyNumberFormat="1" applyFont="1" applyFill="1" applyAlignment="1">
      <alignment horizontal="right" vertical="center"/>
    </xf>
    <xf numFmtId="0" fontId="26" fillId="18" borderId="2" xfId="0" applyFont="1" applyFill="1" applyBorder="1" applyAlignment="1">
      <alignment horizontal="center" vertical="center" wrapText="1"/>
    </xf>
    <xf numFmtId="0" fontId="42" fillId="0" borderId="0" xfId="0" applyFont="1" applyAlignment="1" applyProtection="1">
      <alignment horizontal="center"/>
      <protection hidden="1"/>
    </xf>
    <xf numFmtId="0" fontId="42" fillId="0" borderId="0" xfId="0" applyFont="1" applyProtection="1">
      <protection hidden="1"/>
    </xf>
    <xf numFmtId="0" fontId="42" fillId="0" borderId="0" xfId="0" applyFont="1" applyAlignment="1" applyProtection="1">
      <alignment horizontal="center" wrapText="1"/>
      <protection hidden="1"/>
    </xf>
    <xf numFmtId="49" fontId="2" fillId="3" borderId="0" xfId="0" applyNumberFormat="1" applyFont="1" applyFill="1" applyAlignment="1">
      <alignment vertical="center"/>
    </xf>
    <xf numFmtId="0" fontId="1" fillId="0" borderId="0" xfId="5" applyAlignment="1">
      <alignment vertical="center" wrapText="1"/>
    </xf>
    <xf numFmtId="0" fontId="1" fillId="0" borderId="0" xfId="5">
      <alignment vertical="center"/>
    </xf>
    <xf numFmtId="0" fontId="0" fillId="0" borderId="0" xfId="5" applyFont="1">
      <alignment vertical="center"/>
    </xf>
    <xf numFmtId="0" fontId="35" fillId="0" borderId="0" xfId="5" applyFont="1">
      <alignment vertical="center"/>
    </xf>
    <xf numFmtId="0" fontId="5" fillId="22" borderId="6" xfId="0" applyFont="1" applyFill="1" applyBorder="1" applyAlignment="1">
      <alignment horizontal="center" vertical="center"/>
    </xf>
    <xf numFmtId="0" fontId="5" fillId="22" borderId="0" xfId="0" applyFont="1" applyFill="1" applyAlignment="1">
      <alignment horizontal="center" vertical="center"/>
    </xf>
    <xf numFmtId="0" fontId="23" fillId="0" borderId="0" xfId="0" applyFont="1" applyAlignment="1">
      <alignment horizontal="left" vertical="center" wrapText="1"/>
    </xf>
    <xf numFmtId="0" fontId="0" fillId="3" borderId="8" xfId="0" applyFill="1" applyBorder="1" applyAlignment="1" applyProtection="1">
      <alignment horizontal="center"/>
      <protection hidden="1"/>
    </xf>
    <xf numFmtId="0" fontId="0" fillId="0" borderId="52" xfId="0" applyBorder="1" applyAlignment="1" applyProtection="1">
      <alignment horizontal="center" wrapText="1"/>
      <protection hidden="1"/>
    </xf>
    <xf numFmtId="0" fontId="0" fillId="3" borderId="8" xfId="0" applyFill="1" applyBorder="1" applyProtection="1">
      <protection hidden="1"/>
    </xf>
    <xf numFmtId="44" fontId="0" fillId="3" borderId="45" xfId="1" applyFont="1" applyFill="1" applyBorder="1" applyAlignment="1">
      <alignment vertical="center"/>
    </xf>
    <xf numFmtId="0" fontId="0" fillId="0" borderId="0" xfId="5" applyFont="1" applyAlignment="1">
      <alignment vertical="center" wrapText="1"/>
    </xf>
    <xf numFmtId="44" fontId="0" fillId="23" borderId="20" xfId="1" applyFont="1" applyFill="1" applyBorder="1" applyAlignment="1">
      <alignment vertical="center" wrapText="1"/>
    </xf>
    <xf numFmtId="44" fontId="0" fillId="23" borderId="13" xfId="1" applyFont="1" applyFill="1" applyBorder="1" applyAlignment="1">
      <alignment vertical="center"/>
    </xf>
    <xf numFmtId="44" fontId="0" fillId="24" borderId="0" xfId="1" applyFont="1" applyFill="1" applyBorder="1" applyAlignment="1">
      <alignment vertical="center"/>
    </xf>
    <xf numFmtId="0" fontId="9" fillId="3" borderId="1" xfId="0" applyFont="1" applyFill="1" applyBorder="1" applyAlignment="1">
      <alignment horizontal="right" vertical="center"/>
    </xf>
    <xf numFmtId="0" fontId="16" fillId="0" borderId="27" xfId="0" applyFont="1" applyBorder="1" applyAlignment="1">
      <alignment horizontal="left" vertical="center" indent="1"/>
    </xf>
    <xf numFmtId="0" fontId="15" fillId="0" borderId="1" xfId="0" applyFont="1" applyBorder="1" applyAlignment="1">
      <alignment vertical="center"/>
    </xf>
    <xf numFmtId="44" fontId="0" fillId="2" borderId="0" xfId="1" applyFont="1" applyFill="1" applyBorder="1" applyAlignment="1">
      <alignment vertical="center"/>
    </xf>
    <xf numFmtId="44" fontId="0" fillId="24" borderId="80" xfId="1" applyFont="1" applyFill="1" applyBorder="1" applyAlignment="1">
      <alignment vertical="center"/>
    </xf>
    <xf numFmtId="171" fontId="0" fillId="23" borderId="78" xfId="0" applyNumberFormat="1" applyFill="1" applyBorder="1" applyAlignment="1">
      <alignment vertical="center"/>
    </xf>
    <xf numFmtId="171" fontId="0" fillId="23" borderId="79" xfId="0" applyNumberFormat="1" applyFill="1" applyBorder="1" applyAlignment="1">
      <alignment vertical="center"/>
    </xf>
    <xf numFmtId="171" fontId="0" fillId="2" borderId="78" xfId="0" applyNumberFormat="1" applyFill="1" applyBorder="1" applyAlignment="1">
      <alignment vertical="center"/>
    </xf>
    <xf numFmtId="171" fontId="0" fillId="2" borderId="23" xfId="0" applyNumberFormat="1" applyFill="1" applyBorder="1" applyAlignment="1">
      <alignment vertical="center"/>
    </xf>
    <xf numFmtId="171" fontId="0" fillId="24" borderId="23" xfId="0" applyNumberFormat="1" applyFill="1" applyBorder="1" applyAlignment="1">
      <alignment vertical="center"/>
    </xf>
    <xf numFmtId="0" fontId="0" fillId="3" borderId="29" xfId="0" applyFill="1" applyBorder="1" applyAlignment="1">
      <alignment horizontal="right" vertical="center"/>
    </xf>
    <xf numFmtId="44" fontId="7" fillId="3" borderId="29" xfId="0" applyNumberFormat="1" applyFont="1" applyFill="1" applyBorder="1" applyAlignment="1">
      <alignment horizontal="right" vertical="center"/>
    </xf>
    <xf numFmtId="0" fontId="45" fillId="0" borderId="17" xfId="0" applyFont="1" applyBorder="1"/>
    <xf numFmtId="0" fontId="9" fillId="0" borderId="78" xfId="0" applyFont="1" applyBorder="1" applyAlignment="1">
      <alignment vertical="center"/>
    </xf>
    <xf numFmtId="14" fontId="9" fillId="0" borderId="79" xfId="0" applyNumberFormat="1" applyFont="1" applyBorder="1" applyAlignment="1">
      <alignment horizontal="center" vertical="center"/>
    </xf>
    <xf numFmtId="44" fontId="45" fillId="0" borderId="18" xfId="1" applyFont="1" applyFill="1" applyBorder="1"/>
    <xf numFmtId="44" fontId="45" fillId="0" borderId="31" xfId="1" applyFont="1" applyFill="1" applyBorder="1" applyAlignment="1"/>
    <xf numFmtId="0" fontId="45" fillId="0" borderId="6" xfId="0" applyFont="1" applyBorder="1" applyAlignment="1">
      <alignment horizontal="right"/>
    </xf>
    <xf numFmtId="0" fontId="45" fillId="0" borderId="6" xfId="0" applyFont="1" applyBorder="1"/>
    <xf numFmtId="0" fontId="1" fillId="0" borderId="0" xfId="0" applyFont="1"/>
    <xf numFmtId="0" fontId="2" fillId="0" borderId="11" xfId="0" applyFont="1" applyBorder="1" applyProtection="1">
      <protection hidden="1"/>
    </xf>
    <xf numFmtId="0" fontId="3" fillId="0" borderId="36" xfId="0" applyFont="1" applyBorder="1" applyAlignment="1" applyProtection="1">
      <alignment horizontal="center" vertical="center"/>
      <protection locked="0" hidden="1"/>
    </xf>
    <xf numFmtId="0" fontId="2" fillId="0" borderId="0" xfId="0" quotePrefix="1" applyFont="1" applyAlignment="1">
      <alignment vertical="center" wrapText="1"/>
    </xf>
    <xf numFmtId="0" fontId="3" fillId="3" borderId="11" xfId="0" applyFont="1" applyFill="1" applyBorder="1"/>
    <xf numFmtId="0" fontId="0" fillId="3" borderId="0" xfId="0" applyFill="1" applyAlignment="1" applyProtection="1">
      <alignment vertical="center"/>
      <protection locked="0" hidden="1"/>
    </xf>
    <xf numFmtId="0" fontId="0" fillId="0" borderId="33" xfId="0" applyBorder="1" applyAlignment="1" applyProtection="1">
      <alignment horizontal="center" wrapText="1"/>
      <protection hidden="1"/>
    </xf>
    <xf numFmtId="0" fontId="9" fillId="3" borderId="11" xfId="0" applyFont="1" applyFill="1" applyBorder="1"/>
    <xf numFmtId="0" fontId="0" fillId="0" borderId="11" xfId="0" applyBorder="1"/>
    <xf numFmtId="0" fontId="3" fillId="0" borderId="36" xfId="0" applyFont="1" applyBorder="1" applyAlignment="1" applyProtection="1">
      <alignment horizontal="center"/>
      <protection locked="0" hidden="1"/>
    </xf>
    <xf numFmtId="0" fontId="0" fillId="22" borderId="0" xfId="0" applyFill="1"/>
    <xf numFmtId="0" fontId="0" fillId="22" borderId="86" xfId="0" applyFill="1" applyBorder="1" applyProtection="1">
      <protection hidden="1"/>
    </xf>
    <xf numFmtId="0" fontId="0" fillId="22" borderId="87" xfId="0" applyFill="1" applyBorder="1" applyProtection="1">
      <protection hidden="1"/>
    </xf>
    <xf numFmtId="0" fontId="0" fillId="22" borderId="88" xfId="0" applyFill="1" applyBorder="1"/>
    <xf numFmtId="0" fontId="0" fillId="22" borderId="89" xfId="0" applyFill="1" applyBorder="1"/>
    <xf numFmtId="0" fontId="0" fillId="22" borderId="90" xfId="0" applyFill="1" applyBorder="1"/>
    <xf numFmtId="0" fontId="33" fillId="0" borderId="3" xfId="0" applyFont="1" applyBorder="1" applyAlignment="1">
      <alignment horizontal="center" vertical="center"/>
    </xf>
    <xf numFmtId="0" fontId="26" fillId="12" borderId="3" xfId="0" applyFont="1" applyFill="1" applyBorder="1" applyAlignment="1">
      <alignment horizontal="center" vertical="top" wrapText="1"/>
    </xf>
    <xf numFmtId="0" fontId="25" fillId="19" borderId="5" xfId="0" applyFont="1" applyFill="1" applyBorder="1" applyAlignment="1">
      <alignment horizontal="center" vertical="center" wrapText="1"/>
    </xf>
    <xf numFmtId="0" fontId="33" fillId="0" borderId="5" xfId="0" applyFont="1" applyBorder="1" applyAlignment="1">
      <alignment horizontal="center" vertical="center"/>
    </xf>
    <xf numFmtId="0" fontId="26" fillId="12" borderId="5" xfId="0" applyFont="1" applyFill="1" applyBorder="1" applyAlignment="1">
      <alignment horizontal="center" vertical="top" wrapText="1"/>
    </xf>
    <xf numFmtId="0" fontId="25" fillId="19" borderId="51" xfId="0" applyFont="1" applyFill="1" applyBorder="1" applyAlignment="1">
      <alignment horizontal="center" vertical="center" wrapText="1"/>
    </xf>
    <xf numFmtId="0" fontId="25" fillId="19" borderId="50" xfId="0" applyFont="1" applyFill="1" applyBorder="1" applyAlignment="1">
      <alignment horizontal="center" vertical="center" wrapText="1"/>
    </xf>
    <xf numFmtId="0" fontId="33" fillId="0" borderId="12" xfId="0" applyFont="1" applyBorder="1" applyAlignment="1">
      <alignment horizontal="center" vertical="center"/>
    </xf>
    <xf numFmtId="0" fontId="33" fillId="0" borderId="19" xfId="0" applyFont="1" applyBorder="1" applyAlignment="1">
      <alignment horizontal="center" vertical="center"/>
    </xf>
    <xf numFmtId="0" fontId="25" fillId="19" borderId="12" xfId="0" applyFont="1" applyFill="1" applyBorder="1" applyAlignment="1">
      <alignment horizontal="center" vertical="center" wrapText="1"/>
    </xf>
    <xf numFmtId="0" fontId="25" fillId="19" borderId="19" xfId="0" applyFont="1" applyFill="1" applyBorder="1" applyAlignment="1">
      <alignment horizontal="center" vertical="center" wrapText="1"/>
    </xf>
    <xf numFmtId="0" fontId="26" fillId="12" borderId="91" xfId="0" applyFont="1" applyFill="1" applyBorder="1" applyAlignment="1">
      <alignment horizontal="center" vertical="top" wrapText="1"/>
    </xf>
    <xf numFmtId="0" fontId="26" fillId="12" borderId="36" xfId="0" applyFont="1" applyFill="1" applyBorder="1" applyAlignment="1">
      <alignment horizontal="center" vertical="top" wrapText="1"/>
    </xf>
    <xf numFmtId="0" fontId="25" fillId="19" borderId="52" xfId="0" applyFont="1" applyFill="1" applyBorder="1" applyAlignment="1">
      <alignment horizontal="center" vertical="center" wrapText="1"/>
    </xf>
    <xf numFmtId="0" fontId="26" fillId="12" borderId="42" xfId="0" applyFont="1" applyFill="1" applyBorder="1" applyAlignment="1">
      <alignment horizontal="center" vertical="top" wrapText="1"/>
    </xf>
    <xf numFmtId="0" fontId="25" fillId="19" borderId="3" xfId="0" applyFont="1" applyFill="1" applyBorder="1" applyAlignment="1">
      <alignment horizontal="center" vertical="center" wrapText="1"/>
    </xf>
    <xf numFmtId="0" fontId="26" fillId="19" borderId="3" xfId="0" applyFont="1" applyFill="1" applyBorder="1" applyAlignment="1">
      <alignment horizontal="center" vertical="center" wrapText="1"/>
    </xf>
    <xf numFmtId="0" fontId="23" fillId="0" borderId="0" xfId="0" applyFont="1"/>
    <xf numFmtId="0" fontId="49" fillId="0" borderId="0" xfId="0" applyFont="1" applyAlignment="1">
      <alignment vertical="center" wrapText="1"/>
    </xf>
    <xf numFmtId="0" fontId="48" fillId="0" borderId="0" xfId="0" applyFont="1" applyAlignment="1">
      <alignment horizontal="center" vertical="center"/>
    </xf>
    <xf numFmtId="165" fontId="3" fillId="0" borderId="42" xfId="0" applyNumberFormat="1" applyFont="1" applyBorder="1" applyAlignment="1" applyProtection="1">
      <alignment horizontal="right"/>
      <protection locked="0"/>
    </xf>
    <xf numFmtId="44" fontId="0" fillId="2" borderId="20" xfId="1" applyFont="1" applyFill="1" applyBorder="1" applyAlignment="1">
      <alignment vertical="center"/>
    </xf>
    <xf numFmtId="44" fontId="0" fillId="2" borderId="29" xfId="1" applyFont="1" applyFill="1" applyBorder="1" applyAlignment="1">
      <alignment vertical="center"/>
    </xf>
    <xf numFmtId="0" fontId="0" fillId="0" borderId="0" xfId="0" quotePrefix="1" applyAlignment="1">
      <alignment vertical="center" wrapText="1"/>
    </xf>
    <xf numFmtId="0" fontId="0" fillId="3" borderId="0" xfId="0" applyFill="1" applyAlignment="1">
      <alignment horizontal="righ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13" fillId="22" borderId="0" xfId="0" applyFont="1" applyFill="1" applyAlignment="1">
      <alignment horizontal="center" vertical="center" wrapText="1"/>
    </xf>
    <xf numFmtId="0" fontId="48" fillId="0" borderId="95" xfId="0" applyFont="1" applyBorder="1" applyAlignment="1">
      <alignment vertical="center"/>
    </xf>
    <xf numFmtId="0" fontId="0" fillId="0" borderId="96" xfId="0"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0" xfId="0" applyAlignment="1">
      <alignment horizontal="center" vertical="center" textRotation="90"/>
    </xf>
    <xf numFmtId="0" fontId="0" fillId="0" borderId="97" xfId="0" applyBorder="1" applyAlignment="1">
      <alignment vertical="center"/>
    </xf>
    <xf numFmtId="0" fontId="26" fillId="6" borderId="12"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50" fillId="9" borderId="2" xfId="0" applyFont="1" applyFill="1" applyBorder="1" applyAlignment="1">
      <alignment horizontal="center" vertical="center" wrapText="1"/>
    </xf>
    <xf numFmtId="0" fontId="23" fillId="0" borderId="0" xfId="0" applyFont="1" applyAlignment="1">
      <alignment horizontal="center" vertical="center" wrapText="1"/>
    </xf>
    <xf numFmtId="0" fontId="9" fillId="0" borderId="0" xfId="0" applyFont="1" applyAlignment="1">
      <alignment horizontal="right" vertical="center" wrapText="1"/>
    </xf>
    <xf numFmtId="0" fontId="50" fillId="9" borderId="5" xfId="0" applyFont="1" applyFill="1" applyBorder="1" applyAlignment="1">
      <alignment horizontal="center" vertical="center" wrapText="1"/>
    </xf>
    <xf numFmtId="0" fontId="50" fillId="9" borderId="19" xfId="0" applyFont="1" applyFill="1" applyBorder="1" applyAlignment="1">
      <alignment horizontal="center" vertical="center" wrapText="1"/>
    </xf>
    <xf numFmtId="0" fontId="50" fillId="9" borderId="98" xfId="0" applyFont="1" applyFill="1" applyBorder="1" applyAlignment="1">
      <alignment horizontal="center" vertical="center" wrapText="1"/>
    </xf>
    <xf numFmtId="44" fontId="0" fillId="3" borderId="20" xfId="1" applyFont="1" applyFill="1" applyBorder="1" applyAlignment="1">
      <alignment vertical="center"/>
    </xf>
    <xf numFmtId="171" fontId="9" fillId="3" borderId="20" xfId="0" applyNumberFormat="1" applyFont="1" applyFill="1" applyBorder="1" applyAlignment="1">
      <alignment vertical="center"/>
    </xf>
    <xf numFmtId="0" fontId="0" fillId="0" borderId="29" xfId="0" applyBorder="1" applyAlignment="1">
      <alignment vertical="center"/>
    </xf>
    <xf numFmtId="171" fontId="0" fillId="2" borderId="75" xfId="0" applyNumberFormat="1" applyFill="1" applyBorder="1" applyAlignment="1">
      <alignment vertical="center"/>
    </xf>
    <xf numFmtId="0" fontId="50" fillId="9" borderId="3" xfId="0" applyFont="1" applyFill="1" applyBorder="1" applyAlignment="1">
      <alignment horizontal="center" vertical="center" wrapText="1"/>
    </xf>
    <xf numFmtId="0" fontId="0" fillId="0" borderId="80" xfId="0" applyBorder="1" applyAlignment="1">
      <alignment vertical="center"/>
    </xf>
    <xf numFmtId="171" fontId="0" fillId="24" borderId="74" xfId="0" applyNumberFormat="1" applyFill="1" applyBorder="1" applyAlignment="1">
      <alignment vertical="center"/>
    </xf>
    <xf numFmtId="171" fontId="0" fillId="24" borderId="100" xfId="0" applyNumberFormat="1" applyFill="1" applyBorder="1" applyAlignment="1">
      <alignment vertical="center"/>
    </xf>
    <xf numFmtId="169" fontId="11" fillId="15" borderId="56" xfId="0" applyNumberFormat="1" applyFont="1" applyFill="1" applyBorder="1" applyAlignment="1" applyProtection="1">
      <alignment horizontal="left" vertical="center" wrapText="1" indent="2"/>
      <protection hidden="1"/>
    </xf>
    <xf numFmtId="0" fontId="11" fillId="15" borderId="57" xfId="0" applyFont="1" applyFill="1" applyBorder="1" applyAlignment="1" applyProtection="1">
      <alignment horizontal="left" vertical="center" wrapText="1" indent="2"/>
      <protection hidden="1"/>
    </xf>
    <xf numFmtId="0" fontId="0" fillId="0" borderId="0" xfId="0" applyAlignment="1" applyProtection="1">
      <alignment horizontal="center" vertical="center" wrapText="1"/>
      <protection locked="0" hidden="1"/>
    </xf>
    <xf numFmtId="0" fontId="25" fillId="16" borderId="49" xfId="0" applyFont="1" applyFill="1" applyBorder="1" applyAlignment="1">
      <alignment horizontal="center" vertical="center" wrapText="1"/>
    </xf>
    <xf numFmtId="0" fontId="33" fillId="0" borderId="49" xfId="0" applyFont="1" applyBorder="1" applyAlignment="1">
      <alignment horizontal="center" vertical="center" wrapText="1"/>
    </xf>
    <xf numFmtId="0" fontId="26" fillId="16" borderId="49" xfId="0" applyFont="1" applyFill="1" applyBorder="1" applyAlignment="1">
      <alignment horizontal="center" vertical="center" wrapText="1"/>
    </xf>
    <xf numFmtId="10" fontId="9" fillId="4" borderId="32" xfId="2" applyNumberFormat="1" applyFont="1" applyFill="1" applyBorder="1" applyAlignment="1">
      <alignment horizontal="right" vertical="center"/>
    </xf>
    <xf numFmtId="0" fontId="35" fillId="0" borderId="0" xfId="0" applyFont="1"/>
    <xf numFmtId="0" fontId="16" fillId="0" borderId="0" xfId="0" applyFont="1" applyAlignment="1">
      <alignment horizontal="right" vertical="center"/>
    </xf>
    <xf numFmtId="0" fontId="25" fillId="19" borderId="58" xfId="0" applyFont="1" applyFill="1" applyBorder="1" applyAlignment="1">
      <alignment horizontal="center" vertical="center" wrapText="1"/>
    </xf>
    <xf numFmtId="0" fontId="26" fillId="6" borderId="102" xfId="0" applyFont="1" applyFill="1" applyBorder="1" applyAlignment="1">
      <alignment horizontal="center" vertical="center" wrapText="1"/>
    </xf>
    <xf numFmtId="0" fontId="26" fillId="12" borderId="39" xfId="0" applyFont="1" applyFill="1" applyBorder="1" applyAlignment="1">
      <alignment horizontal="center" vertical="top" wrapText="1"/>
    </xf>
    <xf numFmtId="0" fontId="5" fillId="22" borderId="17" xfId="0" applyFont="1" applyFill="1" applyBorder="1" applyAlignment="1">
      <alignment horizontal="center" vertical="center"/>
    </xf>
    <xf numFmtId="0" fontId="5" fillId="22" borderId="28" xfId="0" applyFont="1" applyFill="1" applyBorder="1" applyAlignment="1">
      <alignment horizontal="center" vertical="center"/>
    </xf>
    <xf numFmtId="0" fontId="9" fillId="22" borderId="28" xfId="0" applyFont="1" applyFill="1" applyBorder="1" applyAlignment="1">
      <alignment vertical="center"/>
    </xf>
    <xf numFmtId="0" fontId="9" fillId="3" borderId="0" xfId="0" applyFont="1" applyFill="1" applyAlignment="1">
      <alignment horizontal="right" vertical="center"/>
    </xf>
    <xf numFmtId="0" fontId="5" fillId="22" borderId="30" xfId="0" applyFont="1" applyFill="1" applyBorder="1" applyAlignment="1">
      <alignment horizontal="center" vertical="center"/>
    </xf>
    <xf numFmtId="0" fontId="9" fillId="3" borderId="1" xfId="0" applyFont="1" applyFill="1" applyBorder="1" applyAlignment="1">
      <alignment vertical="center"/>
    </xf>
    <xf numFmtId="44" fontId="0" fillId="3" borderId="31" xfId="1" applyFont="1" applyFill="1" applyBorder="1" applyAlignment="1">
      <alignment vertical="center"/>
    </xf>
    <xf numFmtId="44" fontId="0" fillId="7" borderId="20" xfId="1" applyFont="1" applyFill="1" applyBorder="1" applyAlignment="1">
      <alignment vertical="center" wrapText="1"/>
    </xf>
    <xf numFmtId="0" fontId="50" fillId="9" borderId="21" xfId="0" applyFont="1" applyFill="1" applyBorder="1" applyAlignment="1">
      <alignment horizontal="center" vertical="center" wrapText="1"/>
    </xf>
    <xf numFmtId="44" fontId="0" fillId="7" borderId="0" xfId="1" applyFont="1" applyFill="1" applyBorder="1" applyAlignment="1">
      <alignment vertical="center"/>
    </xf>
    <xf numFmtId="0" fontId="50" fillId="9" borderId="81" xfId="0" applyFont="1" applyFill="1" applyBorder="1" applyAlignment="1">
      <alignment horizontal="center" vertical="center" wrapText="1"/>
    </xf>
    <xf numFmtId="0" fontId="50" fillId="9" borderId="8" xfId="0" applyFont="1" applyFill="1" applyBorder="1" applyAlignment="1">
      <alignment horizontal="center" vertical="center" wrapText="1"/>
    </xf>
    <xf numFmtId="44" fontId="0" fillId="7" borderId="13" xfId="1" applyFont="1" applyFill="1" applyBorder="1" applyAlignment="1">
      <alignment vertical="center" wrapText="1"/>
    </xf>
    <xf numFmtId="0" fontId="50" fillId="9" borderId="15" xfId="0" applyFont="1" applyFill="1" applyBorder="1" applyAlignment="1">
      <alignment horizontal="center" vertical="center" wrapText="1"/>
    </xf>
    <xf numFmtId="0" fontId="50" fillId="9" borderId="4" xfId="0" applyFont="1" applyFill="1" applyBorder="1" applyAlignment="1">
      <alignment horizontal="center" vertical="center" wrapText="1"/>
    </xf>
    <xf numFmtId="0" fontId="55" fillId="13" borderId="9" xfId="0" applyFont="1" applyFill="1" applyBorder="1" applyAlignment="1">
      <alignment horizontal="center" vertical="center" wrapText="1"/>
    </xf>
    <xf numFmtId="0" fontId="55" fillId="13" borderId="102" xfId="0" applyFont="1" applyFill="1" applyBorder="1" applyAlignment="1">
      <alignment horizontal="center" vertical="center"/>
    </xf>
    <xf numFmtId="0" fontId="45" fillId="0" borderId="0" xfId="0" applyFont="1"/>
    <xf numFmtId="0" fontId="45" fillId="0" borderId="0" xfId="0" applyFont="1" applyAlignment="1">
      <alignment horizontal="right"/>
    </xf>
    <xf numFmtId="0" fontId="45" fillId="0" borderId="28" xfId="0" applyFont="1" applyBorder="1"/>
    <xf numFmtId="44" fontId="45" fillId="0" borderId="29" xfId="1" applyFont="1" applyFill="1" applyBorder="1" applyAlignment="1"/>
    <xf numFmtId="0" fontId="45" fillId="0" borderId="30" xfId="0" applyFont="1" applyBorder="1"/>
    <xf numFmtId="0" fontId="45" fillId="0" borderId="1" xfId="0" applyFont="1" applyBorder="1" applyAlignment="1">
      <alignment horizontal="right"/>
    </xf>
    <xf numFmtId="0" fontId="45" fillId="0" borderId="1" xfId="0" applyFont="1" applyBorder="1"/>
    <xf numFmtId="0" fontId="3" fillId="0" borderId="36" xfId="0" applyFont="1" applyBorder="1" applyAlignment="1" applyProtection="1">
      <alignment horizontal="center" vertical="center" wrapText="1"/>
      <protection locked="0" hidden="1"/>
    </xf>
    <xf numFmtId="0" fontId="0" fillId="0" borderId="10" xfId="0" applyBorder="1" applyAlignment="1">
      <alignment vertical="center"/>
    </xf>
    <xf numFmtId="0" fontId="0" fillId="0" borderId="11" xfId="0" applyBorder="1" applyAlignment="1">
      <alignment vertical="center"/>
    </xf>
    <xf numFmtId="0" fontId="0" fillId="0" borderId="77" xfId="0" applyBorder="1" applyAlignment="1">
      <alignment vertical="center"/>
    </xf>
    <xf numFmtId="49" fontId="26" fillId="6" borderId="22" xfId="0" applyNumberFormat="1" applyFont="1" applyFill="1" applyBorder="1" applyAlignment="1" applyProtection="1">
      <alignment horizontal="center" vertical="center" wrapText="1"/>
      <protection hidden="1"/>
    </xf>
    <xf numFmtId="1" fontId="37" fillId="0" borderId="22" xfId="0" applyNumberFormat="1" applyFont="1" applyBorder="1" applyAlignment="1" applyProtection="1">
      <alignment horizontal="center" vertical="center" wrapText="1"/>
      <protection hidden="1"/>
    </xf>
    <xf numFmtId="14" fontId="37" fillId="0" borderId="22" xfId="0" applyNumberFormat="1" applyFont="1" applyBorder="1" applyAlignment="1" applyProtection="1">
      <alignment horizontal="center" vertical="center" wrapText="1"/>
      <protection hidden="1"/>
    </xf>
    <xf numFmtId="166" fontId="26" fillId="0" borderId="22" xfId="1" applyNumberFormat="1" applyFont="1" applyFill="1" applyBorder="1" applyAlignment="1" applyProtection="1">
      <alignment horizontal="center" vertical="center" wrapText="1"/>
      <protection hidden="1"/>
    </xf>
    <xf numFmtId="49" fontId="37" fillId="0" borderId="103" xfId="0" applyNumberFormat="1" applyFont="1" applyBorder="1" applyAlignment="1" applyProtection="1">
      <alignment horizontal="center" vertical="center" wrapText="1"/>
      <protection locked="0" hidden="1"/>
    </xf>
    <xf numFmtId="171" fontId="39" fillId="6" borderId="22" xfId="2" applyNumberFormat="1" applyFont="1" applyFill="1" applyBorder="1" applyAlignment="1" applyProtection="1">
      <alignment horizontal="center" vertical="center" wrapText="1"/>
      <protection hidden="1"/>
    </xf>
    <xf numFmtId="171" fontId="39" fillId="6" borderId="26" xfId="2" applyNumberFormat="1" applyFont="1" applyFill="1" applyBorder="1" applyAlignment="1" applyProtection="1">
      <alignment horizontal="center" vertical="center" wrapText="1"/>
      <protection hidden="1"/>
    </xf>
    <xf numFmtId="171" fontId="39" fillId="6" borderId="14" xfId="2" applyNumberFormat="1" applyFont="1" applyFill="1" applyBorder="1" applyAlignment="1" applyProtection="1">
      <alignment horizontal="center" vertical="center" wrapText="1"/>
      <protection hidden="1"/>
    </xf>
    <xf numFmtId="166" fontId="39" fillId="6" borderId="26" xfId="1" applyNumberFormat="1" applyFont="1" applyFill="1" applyBorder="1" applyAlignment="1" applyProtection="1">
      <alignment horizontal="center" vertical="center" wrapText="1"/>
      <protection hidden="1"/>
    </xf>
    <xf numFmtId="166" fontId="39" fillId="6" borderId="22" xfId="1" applyNumberFormat="1" applyFont="1" applyFill="1" applyBorder="1" applyAlignment="1" applyProtection="1">
      <alignment horizontal="center" vertical="center" wrapText="1"/>
      <protection hidden="1"/>
    </xf>
    <xf numFmtId="166" fontId="39" fillId="6" borderId="14" xfId="1" applyNumberFormat="1" applyFont="1" applyFill="1" applyBorder="1" applyAlignment="1" applyProtection="1">
      <alignment horizontal="center" vertical="center" wrapText="1"/>
      <protection hidden="1"/>
    </xf>
    <xf numFmtId="9" fontId="39" fillId="6" borderId="22" xfId="2" applyFont="1" applyFill="1" applyBorder="1" applyAlignment="1" applyProtection="1">
      <alignment horizontal="center" vertical="center" wrapText="1"/>
      <protection hidden="1"/>
    </xf>
    <xf numFmtId="166" fontId="26" fillId="0" borderId="22" xfId="3" applyNumberFormat="1" applyFont="1" applyFill="1" applyBorder="1" applyAlignment="1" applyProtection="1">
      <alignment horizontal="center" vertical="center" wrapText="1"/>
      <protection hidden="1"/>
    </xf>
    <xf numFmtId="10" fontId="39" fillId="6" borderId="22" xfId="2" applyNumberFormat="1" applyFont="1" applyFill="1" applyBorder="1" applyAlignment="1" applyProtection="1">
      <alignment horizontal="center" vertical="center" wrapText="1"/>
      <protection hidden="1"/>
    </xf>
    <xf numFmtId="0" fontId="26" fillId="0" borderId="22"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8" fillId="0" borderId="22" xfId="0" applyFont="1" applyBorder="1" applyAlignment="1" applyProtection="1">
      <alignment horizontal="center" vertical="center" wrapText="1"/>
      <protection hidden="1"/>
    </xf>
    <xf numFmtId="0" fontId="38" fillId="0" borderId="22" xfId="0" applyFont="1" applyBorder="1" applyAlignment="1" applyProtection="1">
      <alignment horizontal="center" vertical="center"/>
      <protection hidden="1"/>
    </xf>
    <xf numFmtId="49" fontId="38" fillId="0" borderId="22" xfId="0" applyNumberFormat="1" applyFont="1" applyBorder="1" applyAlignment="1" applyProtection="1">
      <alignment horizontal="center" vertical="center"/>
      <protection locked="0" hidden="1"/>
    </xf>
    <xf numFmtId="0" fontId="37" fillId="0" borderId="22" xfId="0" applyFont="1" applyBorder="1" applyAlignment="1" applyProtection="1">
      <alignment horizontal="center" vertical="center" wrapText="1"/>
      <protection locked="0" hidden="1"/>
    </xf>
    <xf numFmtId="49" fontId="37" fillId="0" borderId="22" xfId="0" applyNumberFormat="1" applyFont="1" applyBorder="1" applyAlignment="1" applyProtection="1">
      <alignment horizontal="center" vertical="center" wrapText="1"/>
      <protection locked="0" hidden="1"/>
    </xf>
    <xf numFmtId="166" fontId="37" fillId="0" borderId="22" xfId="0" applyNumberFormat="1" applyFont="1" applyBorder="1" applyAlignment="1" applyProtection="1">
      <alignment horizontal="center" vertical="center" wrapText="1"/>
      <protection locked="0" hidden="1"/>
    </xf>
    <xf numFmtId="170" fontId="38" fillId="0" borderId="22" xfId="0" applyNumberFormat="1" applyFont="1" applyBorder="1" applyAlignment="1" applyProtection="1">
      <alignment horizontal="center" vertical="center"/>
      <protection locked="0" hidden="1"/>
    </xf>
    <xf numFmtId="167" fontId="37" fillId="0" borderId="22" xfId="0" applyNumberFormat="1" applyFont="1" applyBorder="1" applyAlignment="1" applyProtection="1">
      <alignment horizontal="center" vertical="center" wrapText="1"/>
      <protection locked="0" hidden="1"/>
    </xf>
    <xf numFmtId="0" fontId="36" fillId="0" borderId="22" xfId="0" applyFont="1" applyBorder="1" applyAlignment="1">
      <alignment horizontal="center" vertical="center" wrapText="1"/>
    </xf>
    <xf numFmtId="168" fontId="37" fillId="0" borderId="22" xfId="0" applyNumberFormat="1" applyFont="1" applyBorder="1" applyAlignment="1" applyProtection="1">
      <alignment horizontal="center" vertical="center" wrapText="1"/>
      <protection locked="0" hidden="1"/>
    </xf>
    <xf numFmtId="14" fontId="37" fillId="0" borderId="22" xfId="0" applyNumberFormat="1" applyFont="1" applyBorder="1" applyAlignment="1" applyProtection="1">
      <alignment horizontal="center" vertical="center" wrapText="1"/>
      <protection locked="0" hidden="1"/>
    </xf>
    <xf numFmtId="10" fontId="37" fillId="0" borderId="22" xfId="2" applyNumberFormat="1" applyFont="1" applyFill="1" applyBorder="1" applyAlignment="1" applyProtection="1">
      <alignment horizontal="center" vertical="center" wrapText="1"/>
      <protection locked="0" hidden="1"/>
    </xf>
    <xf numFmtId="0" fontId="25" fillId="19" borderId="6" xfId="0" applyFont="1" applyFill="1" applyBorder="1" applyAlignment="1">
      <alignment horizontal="center" vertical="center" wrapText="1"/>
    </xf>
    <xf numFmtId="0" fontId="0" fillId="0" borderId="0" xfId="0" applyAlignment="1">
      <alignment horizontal="right"/>
    </xf>
    <xf numFmtId="0" fontId="16" fillId="22" borderId="93" xfId="0" applyFont="1" applyFill="1" applyBorder="1" applyAlignment="1" applyProtection="1">
      <alignment horizontal="center" vertical="center"/>
      <protection hidden="1"/>
    </xf>
    <xf numFmtId="0" fontId="16" fillId="22" borderId="94" xfId="0" applyFont="1" applyFill="1" applyBorder="1" applyAlignment="1" applyProtection="1">
      <alignment horizontal="center" vertical="center"/>
      <protection hidden="1"/>
    </xf>
    <xf numFmtId="0" fontId="16" fillId="22" borderId="86" xfId="0" applyFont="1" applyFill="1" applyBorder="1" applyAlignment="1" applyProtection="1">
      <alignment horizontal="center" vertical="center"/>
      <protection hidden="1"/>
    </xf>
    <xf numFmtId="0" fontId="16" fillId="22" borderId="87" xfId="0" applyFont="1" applyFill="1" applyBorder="1" applyAlignment="1" applyProtection="1">
      <alignment horizontal="center" vertical="center"/>
      <protection hidden="1"/>
    </xf>
    <xf numFmtId="0" fontId="0" fillId="3" borderId="0" xfId="0" applyFill="1" applyAlignment="1">
      <alignment vertical="center" wrapText="1"/>
    </xf>
    <xf numFmtId="166" fontId="26" fillId="0" borderId="17" xfId="1" applyNumberFormat="1" applyFont="1" applyFill="1" applyBorder="1" applyAlignment="1" applyProtection="1">
      <alignment horizontal="center" vertical="center" wrapText="1"/>
      <protection hidden="1"/>
    </xf>
    <xf numFmtId="0" fontId="54" fillId="0" borderId="11" xfId="0" applyFont="1" applyBorder="1" applyAlignment="1" applyProtection="1">
      <alignment horizontal="center" vertical="center" wrapText="1"/>
      <protection locked="0"/>
    </xf>
    <xf numFmtId="0" fontId="54" fillId="0" borderId="11" xfId="0" quotePrefix="1" applyFont="1" applyBorder="1" applyAlignment="1">
      <alignment horizontal="center" vertical="center" wrapText="1"/>
    </xf>
    <xf numFmtId="0" fontId="54" fillId="0" borderId="11" xfId="0" applyFont="1" applyBorder="1" applyAlignment="1" applyProtection="1">
      <alignment horizontal="left" vertical="center" wrapText="1"/>
      <protection locked="0"/>
    </xf>
    <xf numFmtId="1" fontId="54" fillId="0" borderId="40" xfId="1" applyNumberFormat="1" applyFont="1" applyFill="1" applyBorder="1" applyAlignment="1" applyProtection="1">
      <alignment horizontal="center" vertical="center" wrapText="1"/>
      <protection locked="0"/>
    </xf>
    <xf numFmtId="166" fontId="54" fillId="0" borderId="41" xfId="1" applyNumberFormat="1" applyFont="1" applyFill="1" applyBorder="1" applyAlignment="1" applyProtection="1">
      <alignment vertical="center" wrapText="1"/>
      <protection locked="0"/>
    </xf>
    <xf numFmtId="0" fontId="54" fillId="0" borderId="23" xfId="0" applyFont="1" applyBorder="1" applyAlignment="1" applyProtection="1">
      <alignment horizontal="center" vertical="center" wrapText="1"/>
      <protection locked="0"/>
    </xf>
    <xf numFmtId="0" fontId="54" fillId="0" borderId="23" xfId="0" quotePrefix="1" applyFont="1" applyBorder="1" applyAlignment="1">
      <alignment horizontal="center" vertical="center" wrapText="1"/>
    </xf>
    <xf numFmtId="0" fontId="54" fillId="0" borderId="23" xfId="0" applyFont="1" applyBorder="1" applyAlignment="1" applyProtection="1">
      <alignment horizontal="left" vertical="center" wrapText="1"/>
      <protection locked="0"/>
    </xf>
    <xf numFmtId="1" fontId="54" fillId="0" borderId="35" xfId="1" applyNumberFormat="1" applyFont="1" applyFill="1" applyBorder="1" applyAlignment="1" applyProtection="1">
      <alignment horizontal="center" vertical="center" wrapText="1"/>
      <protection locked="0"/>
    </xf>
    <xf numFmtId="166" fontId="54" fillId="0" borderId="24" xfId="1" applyNumberFormat="1" applyFont="1" applyFill="1" applyBorder="1" applyAlignment="1" applyProtection="1">
      <alignment vertical="center" wrapText="1"/>
      <protection locked="0"/>
    </xf>
    <xf numFmtId="1" fontId="54" fillId="0" borderId="33" xfId="1" applyNumberFormat="1" applyFont="1" applyFill="1" applyBorder="1" applyAlignment="1" applyProtection="1">
      <alignment horizontal="center" vertical="center" wrapText="1"/>
      <protection locked="0"/>
    </xf>
    <xf numFmtId="166" fontId="54" fillId="0" borderId="25" xfId="1" applyNumberFormat="1" applyFont="1" applyFill="1" applyBorder="1" applyAlignment="1" applyProtection="1">
      <alignment vertical="center" wrapText="1"/>
      <protection locked="0"/>
    </xf>
    <xf numFmtId="166" fontId="12" fillId="0" borderId="25" xfId="1" applyNumberFormat="1" applyFont="1" applyFill="1" applyBorder="1" applyAlignment="1" applyProtection="1">
      <alignment vertical="center" wrapText="1"/>
      <protection locked="0"/>
    </xf>
    <xf numFmtId="166" fontId="12" fillId="0" borderId="14" xfId="1" applyNumberFormat="1" applyFont="1" applyFill="1" applyBorder="1" applyAlignment="1" applyProtection="1">
      <alignment vertical="center" wrapText="1"/>
      <protection locked="0"/>
    </xf>
    <xf numFmtId="166" fontId="12" fillId="0" borderId="41" xfId="1" applyNumberFormat="1" applyFont="1" applyFill="1" applyBorder="1" applyAlignment="1" applyProtection="1">
      <alignment vertical="center" wrapText="1"/>
    </xf>
    <xf numFmtId="0" fontId="25" fillId="6" borderId="2" xfId="0" applyFont="1" applyFill="1" applyBorder="1" applyAlignment="1">
      <alignment horizontal="center" vertical="center" wrapText="1"/>
    </xf>
    <xf numFmtId="0" fontId="2" fillId="0" borderId="25" xfId="0" applyFont="1" applyBorder="1" applyAlignment="1" applyProtection="1">
      <alignment vertical="center" wrapText="1"/>
      <protection hidden="1"/>
    </xf>
    <xf numFmtId="0" fontId="2" fillId="0" borderId="14" xfId="0" applyFont="1" applyBorder="1" applyAlignment="1" applyProtection="1">
      <alignment vertical="center" wrapText="1"/>
      <protection hidden="1"/>
    </xf>
    <xf numFmtId="0" fontId="2" fillId="0" borderId="72" xfId="0" applyFont="1" applyBorder="1" applyAlignment="1" applyProtection="1">
      <alignment vertical="center" wrapText="1"/>
      <protection hidden="1"/>
    </xf>
    <xf numFmtId="9" fontId="0" fillId="0" borderId="0" xfId="0" applyNumberFormat="1" applyAlignment="1">
      <alignment horizontal="center" vertical="center"/>
    </xf>
    <xf numFmtId="44" fontId="0" fillId="0" borderId="31" xfId="0" applyNumberFormat="1" applyBorder="1" applyAlignment="1">
      <alignment horizontal="right" vertical="center"/>
    </xf>
    <xf numFmtId="0" fontId="33" fillId="26" borderId="2" xfId="0" applyFont="1" applyFill="1" applyBorder="1" applyAlignment="1">
      <alignment horizontal="center" vertical="center"/>
    </xf>
    <xf numFmtId="49" fontId="21" fillId="0" borderId="22" xfId="4" applyNumberFormat="1" applyFill="1" applyBorder="1" applyAlignment="1" applyProtection="1">
      <alignment horizontal="center" vertical="center" wrapText="1"/>
      <protection locked="0" hidden="1"/>
    </xf>
    <xf numFmtId="2" fontId="26" fillId="14" borderId="2" xfId="0" applyNumberFormat="1" applyFont="1" applyFill="1" applyBorder="1" applyAlignment="1">
      <alignment horizontal="center" vertical="center" wrapText="1"/>
    </xf>
    <xf numFmtId="0" fontId="26" fillId="11" borderId="2" xfId="0" applyFont="1" applyFill="1" applyBorder="1" applyAlignment="1">
      <alignment horizontal="center" vertical="center" wrapText="1"/>
    </xf>
    <xf numFmtId="0" fontId="0" fillId="0" borderId="107" xfId="5" applyFont="1" applyBorder="1">
      <alignment vertical="center"/>
    </xf>
    <xf numFmtId="166" fontId="75" fillId="0" borderId="2" xfId="0" applyNumberFormat="1" applyFont="1" applyBorder="1" applyAlignment="1" applyProtection="1">
      <alignment horizontal="center" vertical="center"/>
      <protection locked="0" hidden="1"/>
    </xf>
    <xf numFmtId="49" fontId="77" fillId="0" borderId="22" xfId="0" applyNumberFormat="1" applyFont="1" applyBorder="1" applyAlignment="1" applyProtection="1">
      <alignment horizontal="center" vertical="center" wrapText="1"/>
      <protection locked="0" hidden="1"/>
    </xf>
    <xf numFmtId="44" fontId="0" fillId="0" borderId="0" xfId="1" applyFont="1" applyFill="1" applyBorder="1" applyAlignment="1">
      <alignment vertical="center"/>
    </xf>
    <xf numFmtId="171" fontId="39" fillId="6" borderId="17" xfId="2" applyNumberFormat="1" applyFont="1" applyFill="1" applyBorder="1" applyAlignment="1" applyProtection="1">
      <alignment horizontal="center" vertical="center" wrapText="1"/>
      <protection hidden="1"/>
    </xf>
    <xf numFmtId="0" fontId="0" fillId="3" borderId="0" xfId="0" applyFill="1"/>
    <xf numFmtId="165" fontId="3" fillId="0" borderId="34" xfId="0" applyNumberFormat="1" applyFont="1" applyBorder="1" applyAlignment="1" applyProtection="1">
      <alignment horizontal="right"/>
      <protection locked="0"/>
    </xf>
    <xf numFmtId="0" fontId="3" fillId="3" borderId="0" xfId="0" applyFont="1" applyFill="1"/>
    <xf numFmtId="0" fontId="2" fillId="0" borderId="0" xfId="0" applyFont="1" applyProtection="1">
      <protection hidden="1"/>
    </xf>
    <xf numFmtId="0" fontId="3" fillId="0" borderId="25" xfId="0" applyFont="1" applyBorder="1" applyAlignment="1" applyProtection="1">
      <alignment horizontal="center" vertical="center"/>
      <protection locked="0" hidden="1"/>
    </xf>
    <xf numFmtId="166" fontId="39" fillId="6" borderId="17" xfId="1" applyNumberFormat="1" applyFont="1" applyFill="1" applyBorder="1" applyAlignment="1" applyProtection="1">
      <alignment horizontal="center" vertical="center" wrapText="1"/>
      <protection hidden="1"/>
    </xf>
    <xf numFmtId="0" fontId="0" fillId="22" borderId="88" xfId="0" applyFill="1" applyBorder="1" applyProtection="1">
      <protection hidden="1"/>
    </xf>
    <xf numFmtId="0" fontId="0" fillId="22" borderId="0" xfId="0" applyFill="1" applyProtection="1">
      <protection hidden="1"/>
    </xf>
    <xf numFmtId="0" fontId="78" fillId="22" borderId="86" xfId="0" applyFont="1" applyFill="1" applyBorder="1" applyAlignment="1">
      <alignment horizontal="right"/>
    </xf>
    <xf numFmtId="0" fontId="78" fillId="22" borderId="93" xfId="0" applyFont="1" applyFill="1" applyBorder="1" applyAlignment="1" applyProtection="1">
      <alignment horizontal="right" vertical="center"/>
      <protection hidden="1"/>
    </xf>
    <xf numFmtId="0" fontId="79" fillId="22" borderId="93" xfId="0" applyFont="1" applyFill="1" applyBorder="1" applyProtection="1">
      <protection hidden="1"/>
    </xf>
    <xf numFmtId="0" fontId="26" fillId="0" borderId="0" xfId="0" applyFont="1" applyAlignment="1">
      <alignment vertical="center" wrapText="1"/>
    </xf>
    <xf numFmtId="171" fontId="0" fillId="0" borderId="0" xfId="0" applyNumberFormat="1" applyAlignment="1">
      <alignment vertical="center"/>
    </xf>
    <xf numFmtId="0" fontId="0" fillId="25" borderId="52" xfId="0" applyFill="1" applyBorder="1" applyAlignment="1" applyProtection="1">
      <alignment horizontal="center" wrapText="1"/>
      <protection hidden="1"/>
    </xf>
    <xf numFmtId="165" fontId="3" fillId="25" borderId="34" xfId="0" applyNumberFormat="1" applyFont="1" applyFill="1" applyBorder="1" applyAlignment="1" applyProtection="1">
      <alignment horizontal="right"/>
      <protection locked="0"/>
    </xf>
    <xf numFmtId="44" fontId="45" fillId="25" borderId="29" xfId="1" applyFont="1" applyFill="1" applyBorder="1" applyAlignment="1"/>
    <xf numFmtId="0" fontId="69" fillId="0" borderId="0" xfId="4" applyFont="1" applyFill="1" applyBorder="1" applyAlignment="1">
      <alignment vertical="center" wrapText="1"/>
    </xf>
    <xf numFmtId="0" fontId="50" fillId="9" borderId="57" xfId="0" applyFont="1" applyFill="1" applyBorder="1" applyAlignment="1">
      <alignment horizontal="center" vertical="center" wrapText="1"/>
    </xf>
    <xf numFmtId="0" fontId="0" fillId="25" borderId="0" xfId="0" applyFill="1" applyProtection="1">
      <protection hidden="1"/>
    </xf>
    <xf numFmtId="0" fontId="9" fillId="25" borderId="25" xfId="0" applyFont="1" applyFill="1" applyBorder="1" applyAlignment="1" applyProtection="1">
      <alignment horizontal="center" vertical="center"/>
      <protection locked="0" hidden="1"/>
    </xf>
    <xf numFmtId="172" fontId="0" fillId="7" borderId="78" xfId="0" applyNumberFormat="1" applyFill="1" applyBorder="1" applyAlignment="1">
      <alignment vertical="center"/>
    </xf>
    <xf numFmtId="172" fontId="0" fillId="7" borderId="23" xfId="0" applyNumberFormat="1" applyFill="1" applyBorder="1" applyAlignment="1">
      <alignment vertical="center"/>
    </xf>
    <xf numFmtId="172" fontId="0" fillId="7" borderId="79" xfId="0" applyNumberFormat="1" applyFill="1" applyBorder="1" applyAlignment="1">
      <alignment vertical="center"/>
    </xf>
    <xf numFmtId="0" fontId="74" fillId="27" borderId="0" xfId="0" applyFont="1" applyFill="1" applyAlignment="1">
      <alignment vertical="center" wrapText="1"/>
    </xf>
    <xf numFmtId="0" fontId="0" fillId="3" borderId="2" xfId="0" applyFill="1" applyBorder="1" applyAlignment="1">
      <alignment horizontal="left"/>
    </xf>
    <xf numFmtId="0" fontId="76" fillId="3" borderId="0" xfId="0" applyFont="1" applyFill="1" applyAlignment="1">
      <alignment vertical="center"/>
    </xf>
    <xf numFmtId="166" fontId="12" fillId="0" borderId="19" xfId="1" applyNumberFormat="1" applyFont="1" applyFill="1" applyBorder="1" applyAlignment="1" applyProtection="1">
      <alignment vertical="center" wrapText="1"/>
    </xf>
    <xf numFmtId="0" fontId="8" fillId="28" borderId="2" xfId="0" applyFont="1" applyFill="1" applyBorder="1" applyAlignment="1" applyProtection="1">
      <alignment horizontal="right" vertical="center" wrapText="1" indent="1"/>
      <protection hidden="1"/>
    </xf>
    <xf numFmtId="0" fontId="8" fillId="28" borderId="68" xfId="0" applyFont="1" applyFill="1" applyBorder="1" applyAlignment="1" applyProtection="1">
      <alignment horizontal="right" vertical="center" wrapText="1" indent="1"/>
      <protection hidden="1"/>
    </xf>
    <xf numFmtId="0" fontId="8" fillId="28" borderId="42" xfId="0" applyFont="1" applyFill="1" applyBorder="1" applyAlignment="1">
      <alignment horizontal="center" wrapText="1"/>
    </xf>
    <xf numFmtId="0" fontId="8" fillId="28" borderId="36" xfId="0" applyFont="1" applyFill="1" applyBorder="1" applyAlignment="1">
      <alignment horizontal="center" wrapText="1"/>
    </xf>
    <xf numFmtId="2" fontId="8" fillId="28" borderId="46" xfId="0" applyNumberFormat="1" applyFont="1" applyFill="1" applyBorder="1" applyAlignment="1">
      <alignment horizontal="center" vertical="center" wrapText="1"/>
    </xf>
    <xf numFmtId="0" fontId="8" fillId="28" borderId="19" xfId="0" applyFont="1" applyFill="1" applyBorder="1" applyAlignment="1">
      <alignment horizontal="center" vertical="center" wrapText="1"/>
    </xf>
    <xf numFmtId="0" fontId="0" fillId="22" borderId="106" xfId="0" applyFill="1" applyBorder="1"/>
    <xf numFmtId="0" fontId="73" fillId="28" borderId="42" xfId="0" applyFont="1" applyFill="1" applyBorder="1" applyAlignment="1" applyProtection="1">
      <alignment horizontal="center" vertical="center" wrapText="1"/>
      <protection locked="0"/>
    </xf>
    <xf numFmtId="0" fontId="81" fillId="28" borderId="15" xfId="0" applyFont="1" applyFill="1" applyBorder="1" applyAlignment="1">
      <alignment vertical="center" wrapText="1"/>
    </xf>
    <xf numFmtId="0" fontId="73" fillId="28" borderId="36" xfId="0" applyFont="1" applyFill="1" applyBorder="1" applyAlignment="1" applyProtection="1">
      <alignment wrapText="1"/>
      <protection locked="0"/>
    </xf>
    <xf numFmtId="0" fontId="61" fillId="0" borderId="0" xfId="0" applyFont="1" applyAlignment="1">
      <alignment vertical="top" wrapText="1"/>
    </xf>
    <xf numFmtId="0" fontId="67" fillId="10" borderId="20" xfId="4" applyFont="1" applyFill="1" applyBorder="1" applyAlignment="1">
      <alignment horizontal="center" vertical="center" wrapText="1"/>
    </xf>
    <xf numFmtId="0" fontId="60" fillId="0" borderId="20"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7" xfId="0" applyBorder="1" applyAlignment="1">
      <alignment horizontal="center" vertical="center"/>
    </xf>
    <xf numFmtId="0" fontId="57" fillId="0" borderId="7" xfId="0" applyFont="1" applyBorder="1" applyAlignment="1">
      <alignment horizontal="center" vertical="center"/>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58" fillId="0" borderId="77" xfId="0" applyFont="1" applyBorder="1" applyAlignment="1">
      <alignment horizontal="center" vertical="center"/>
    </xf>
    <xf numFmtId="0" fontId="59" fillId="18" borderId="7" xfId="0" applyFont="1" applyFill="1" applyBorder="1" applyAlignment="1">
      <alignment horizontal="center" vertical="center"/>
    </xf>
    <xf numFmtId="0" fontId="59" fillId="18" borderId="8" xfId="0" applyFont="1" applyFill="1" applyBorder="1" applyAlignment="1">
      <alignment horizontal="center" vertical="center"/>
    </xf>
    <xf numFmtId="0" fontId="59" fillId="18" borderId="9" xfId="0" applyFont="1" applyFill="1" applyBorder="1" applyAlignment="1">
      <alignment horizontal="center" vertical="center"/>
    </xf>
    <xf numFmtId="0" fontId="59" fillId="18" borderId="82" xfId="0" applyFont="1" applyFill="1" applyBorder="1" applyAlignment="1">
      <alignment horizontal="center" vertical="center"/>
    </xf>
    <xf numFmtId="0" fontId="59" fillId="18" borderId="1" xfId="0" applyFont="1" applyFill="1" applyBorder="1" applyAlignment="1">
      <alignment horizontal="center" vertical="center"/>
    </xf>
    <xf numFmtId="0" fontId="59" fillId="18" borderId="15" xfId="0" applyFont="1" applyFill="1" applyBorder="1" applyAlignment="1">
      <alignment horizontal="center" vertical="center"/>
    </xf>
    <xf numFmtId="0" fontId="60" fillId="0" borderId="20" xfId="0" applyFont="1" applyBorder="1" applyAlignment="1">
      <alignment horizontal="center" vertical="top" wrapText="1"/>
    </xf>
    <xf numFmtId="0" fontId="60" fillId="0" borderId="0" xfId="0" applyFont="1" applyAlignment="1">
      <alignment horizontal="center" vertical="top" wrapText="1"/>
    </xf>
    <xf numFmtId="0" fontId="60" fillId="0" borderId="13" xfId="0" applyFont="1" applyBorder="1" applyAlignment="1">
      <alignment horizontal="center" vertical="top" wrapText="1"/>
    </xf>
    <xf numFmtId="0" fontId="59" fillId="18" borderId="81" xfId="0" applyFont="1" applyFill="1" applyBorder="1" applyAlignment="1">
      <alignment horizontal="center" vertical="center"/>
    </xf>
    <xf numFmtId="0" fontId="59" fillId="18" borderId="104" xfId="0" applyFont="1" applyFill="1" applyBorder="1" applyAlignment="1">
      <alignment horizontal="center" vertical="center"/>
    </xf>
    <xf numFmtId="0" fontId="59" fillId="18" borderId="46" xfId="0" applyFont="1" applyFill="1" applyBorder="1" applyAlignment="1">
      <alignment horizontal="center" vertical="center"/>
    </xf>
    <xf numFmtId="0" fontId="62" fillId="0" borderId="20"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105"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0" xfId="0" applyFont="1" applyAlignment="1">
      <alignment horizontal="center" vertical="center" wrapText="1"/>
    </xf>
    <xf numFmtId="0" fontId="66" fillId="0" borderId="13"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77" xfId="0" applyFont="1" applyBorder="1" applyAlignment="1">
      <alignment horizontal="center" vertical="center" wrapText="1"/>
    </xf>
    <xf numFmtId="0" fontId="60" fillId="0" borderId="12" xfId="0" applyFont="1"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91"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62" fillId="0" borderId="10" xfId="0" applyFont="1" applyBorder="1" applyAlignment="1">
      <alignment horizontal="center" vertical="center" wrapText="1"/>
    </xf>
    <xf numFmtId="0" fontId="5" fillId="28" borderId="82" xfId="0" applyFont="1" applyFill="1" applyBorder="1" applyAlignment="1">
      <alignment vertical="center" wrapText="1"/>
    </xf>
    <xf numFmtId="0" fontId="5" fillId="28" borderId="1" xfId="0" applyFont="1" applyFill="1" applyBorder="1" applyAlignment="1">
      <alignment vertical="center" wrapText="1"/>
    </xf>
    <xf numFmtId="0" fontId="5" fillId="28" borderId="15" xfId="0" applyFont="1" applyFill="1" applyBorder="1" applyAlignment="1">
      <alignment vertical="center" wrapText="1"/>
    </xf>
    <xf numFmtId="0" fontId="8" fillId="28" borderId="21" xfId="0" applyFont="1" applyFill="1" applyBorder="1" applyAlignment="1">
      <alignment horizontal="left" vertical="center" wrapText="1" indent="1"/>
    </xf>
    <xf numFmtId="0" fontId="8" fillId="28" borderId="4" xfId="0" applyFont="1" applyFill="1" applyBorder="1" applyAlignment="1">
      <alignment horizontal="left" vertical="center" wrapText="1" indent="1"/>
    </xf>
    <xf numFmtId="0" fontId="8" fillId="28" borderId="5" xfId="0" applyFont="1" applyFill="1" applyBorder="1" applyAlignment="1">
      <alignment horizontal="left" vertical="center" wrapText="1" indent="1"/>
    </xf>
    <xf numFmtId="0" fontId="73" fillId="28" borderId="3" xfId="0" applyFont="1" applyFill="1" applyBorder="1" applyAlignment="1" applyProtection="1">
      <alignment horizontal="center" vertical="center" wrapText="1"/>
      <protection locked="0"/>
    </xf>
    <xf numFmtId="0" fontId="73" fillId="28" borderId="5" xfId="0" applyFont="1" applyFill="1" applyBorder="1" applyAlignment="1" applyProtection="1">
      <alignment horizontal="center" vertical="center" wrapText="1"/>
      <protection locked="0"/>
    </xf>
    <xf numFmtId="0" fontId="54" fillId="0" borderId="35" xfId="0" applyFont="1" applyBorder="1" applyAlignment="1" applyProtection="1">
      <alignment vertical="center" wrapText="1"/>
      <protection locked="0"/>
    </xf>
    <xf numFmtId="0" fontId="70" fillId="0" borderId="74" xfId="0" applyFont="1" applyBorder="1" applyAlignment="1" applyProtection="1">
      <alignment horizontal="center" vertical="center" wrapText="1"/>
      <protection locked="0"/>
    </xf>
    <xf numFmtId="0" fontId="70" fillId="0" borderId="75" xfId="0" applyFont="1" applyBorder="1" applyAlignment="1" applyProtection="1">
      <alignment horizontal="center" vertical="center" wrapText="1"/>
      <protection locked="0"/>
    </xf>
    <xf numFmtId="0" fontId="54" fillId="0" borderId="40" xfId="0" applyFont="1" applyBorder="1" applyAlignment="1" applyProtection="1">
      <alignment vertical="center" wrapText="1"/>
      <protection locked="0"/>
    </xf>
    <xf numFmtId="0" fontId="8" fillId="28" borderId="42" xfId="0" applyFont="1" applyFill="1" applyBorder="1" applyAlignment="1">
      <alignment horizontal="center" wrapText="1"/>
    </xf>
    <xf numFmtId="0" fontId="8" fillId="28" borderId="38" xfId="0" applyFont="1" applyFill="1" applyBorder="1" applyAlignment="1">
      <alignment horizontal="center" wrapText="1"/>
    </xf>
    <xf numFmtId="0" fontId="8" fillId="28" borderId="39" xfId="0" applyFont="1" applyFill="1" applyBorder="1" applyAlignment="1">
      <alignment horizontal="center" wrapText="1"/>
    </xf>
    <xf numFmtId="0" fontId="8" fillId="28" borderId="43" xfId="0" applyFont="1" applyFill="1" applyBorder="1" applyAlignment="1">
      <alignment horizontal="center" wrapText="1"/>
    </xf>
    <xf numFmtId="168" fontId="52" fillId="0" borderId="69" xfId="0" applyNumberFormat="1" applyFont="1" applyBorder="1" applyAlignment="1" applyProtection="1">
      <alignment horizontal="left" vertical="center" wrapText="1"/>
      <protection locked="0"/>
    </xf>
    <xf numFmtId="168" fontId="52" fillId="0" borderId="55" xfId="0" applyNumberFormat="1" applyFont="1" applyBorder="1" applyAlignment="1" applyProtection="1">
      <alignment horizontal="left" vertical="center" wrapText="1"/>
      <protection locked="0"/>
    </xf>
    <xf numFmtId="0" fontId="8" fillId="28" borderId="73" xfId="0" applyFont="1" applyFill="1" applyBorder="1" applyAlignment="1">
      <alignment horizontal="center" wrapText="1"/>
    </xf>
    <xf numFmtId="0" fontId="9" fillId="15" borderId="7" xfId="0" applyFont="1" applyFill="1" applyBorder="1" applyAlignment="1" applyProtection="1">
      <alignment horizontal="center" vertical="center" wrapText="1"/>
      <protection hidden="1"/>
    </xf>
    <xf numFmtId="0" fontId="9" fillId="15" borderId="9" xfId="0" applyFont="1" applyFill="1" applyBorder="1" applyAlignment="1" applyProtection="1">
      <alignment horizontal="center" vertical="center" wrapText="1"/>
      <protection hidden="1"/>
    </xf>
    <xf numFmtId="0" fontId="9" fillId="15" borderId="10" xfId="0" applyFont="1" applyFill="1" applyBorder="1" applyAlignment="1" applyProtection="1">
      <alignment horizontal="center" vertical="center" wrapText="1"/>
      <protection hidden="1"/>
    </xf>
    <xf numFmtId="0" fontId="9" fillId="15" borderId="7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15" borderId="8" xfId="0" applyFill="1" applyBorder="1" applyAlignment="1" applyProtection="1">
      <alignment horizontal="right" vertical="center" wrapText="1"/>
      <protection hidden="1"/>
    </xf>
    <xf numFmtId="0" fontId="8" fillId="28" borderId="12" xfId="0" applyFont="1" applyFill="1" applyBorder="1" applyAlignment="1" applyProtection="1">
      <alignment horizontal="right" vertical="center"/>
      <protection hidden="1"/>
    </xf>
    <xf numFmtId="0" fontId="8" fillId="28" borderId="2" xfId="0" applyFont="1" applyFill="1" applyBorder="1" applyAlignment="1" applyProtection="1">
      <alignment horizontal="right" vertical="center"/>
      <protection hidden="1"/>
    </xf>
    <xf numFmtId="0" fontId="0" fillId="15" borderId="1" xfId="0" applyFill="1" applyBorder="1" applyAlignment="1" applyProtection="1">
      <alignment horizontal="right" vertical="center"/>
      <protection hidden="1"/>
    </xf>
    <xf numFmtId="0" fontId="0" fillId="2" borderId="10" xfId="0" applyFill="1" applyBorder="1" applyAlignment="1" applyProtection="1">
      <alignment horizontal="right" vertical="center"/>
      <protection hidden="1"/>
    </xf>
    <xf numFmtId="0" fontId="0" fillId="2" borderId="11" xfId="0"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53" fillId="0" borderId="2" xfId="0" applyFont="1" applyBorder="1" applyAlignment="1" applyProtection="1">
      <alignment horizontal="left" vertical="center" wrapText="1"/>
      <protection locked="0"/>
    </xf>
    <xf numFmtId="0" fontId="5" fillId="28" borderId="51" xfId="0" applyFont="1" applyFill="1" applyBorder="1" applyAlignment="1" applyProtection="1">
      <alignment vertical="center" wrapText="1"/>
      <protection hidden="1"/>
    </xf>
    <xf numFmtId="0" fontId="5" fillId="28" borderId="52" xfId="0" applyFont="1" applyFill="1" applyBorder="1" applyAlignment="1" applyProtection="1">
      <alignment vertical="center" wrapText="1"/>
      <protection hidden="1"/>
    </xf>
    <xf numFmtId="0" fontId="5" fillId="28" borderId="50" xfId="0" applyFont="1" applyFill="1" applyBorder="1" applyAlignment="1" applyProtection="1">
      <alignment vertical="center" wrapText="1"/>
      <protection hidden="1"/>
    </xf>
    <xf numFmtId="0" fontId="56" fillId="28" borderId="16" xfId="0" applyFont="1" applyFill="1" applyBorder="1" applyAlignment="1" applyProtection="1">
      <alignment horizontal="center" vertical="center" wrapText="1"/>
      <protection hidden="1"/>
    </xf>
    <xf numFmtId="0" fontId="56" fillId="28" borderId="6" xfId="0" applyFont="1" applyFill="1" applyBorder="1" applyAlignment="1" applyProtection="1">
      <alignment horizontal="center" vertical="center" wrapText="1"/>
      <protection hidden="1"/>
    </xf>
    <xf numFmtId="0" fontId="56" fillId="28" borderId="18" xfId="0" applyFont="1" applyFill="1" applyBorder="1" applyAlignment="1" applyProtection="1">
      <alignment horizontal="center" vertical="center" wrapText="1"/>
      <protection hidden="1"/>
    </xf>
    <xf numFmtId="0" fontId="56" fillId="28" borderId="20" xfId="0" applyFont="1" applyFill="1" applyBorder="1" applyAlignment="1" applyProtection="1">
      <alignment horizontal="center" vertical="center" wrapText="1"/>
      <protection hidden="1"/>
    </xf>
    <xf numFmtId="0" fontId="56" fillId="28" borderId="0" xfId="0" applyFont="1" applyFill="1" applyAlignment="1" applyProtection="1">
      <alignment horizontal="center" vertical="center" wrapText="1"/>
      <protection hidden="1"/>
    </xf>
    <xf numFmtId="0" fontId="56" fillId="28" borderId="29" xfId="0" applyFont="1" applyFill="1" applyBorder="1" applyAlignment="1" applyProtection="1">
      <alignment horizontal="center" vertical="center" wrapText="1"/>
      <protection hidden="1"/>
    </xf>
    <xf numFmtId="0" fontId="56" fillId="28" borderId="53" xfId="0" applyFont="1" applyFill="1" applyBorder="1" applyAlignment="1" applyProtection="1">
      <alignment horizontal="center" vertical="center" wrapText="1"/>
      <protection hidden="1"/>
    </xf>
    <xf numFmtId="0" fontId="56" fillId="28" borderId="54" xfId="0" applyFont="1" applyFill="1" applyBorder="1" applyAlignment="1" applyProtection="1">
      <alignment horizontal="center" vertical="center" wrapText="1"/>
      <protection hidden="1"/>
    </xf>
    <xf numFmtId="0" fontId="56" fillId="28" borderId="55" xfId="0" applyFont="1" applyFill="1" applyBorder="1" applyAlignment="1" applyProtection="1">
      <alignment horizontal="center" vertical="center" wrapText="1"/>
      <protection hidden="1"/>
    </xf>
    <xf numFmtId="0" fontId="52" fillId="0" borderId="2" xfId="0" applyFont="1" applyBorder="1" applyAlignment="1" applyProtection="1">
      <alignment vertical="center" wrapText="1"/>
      <protection locked="0"/>
    </xf>
    <xf numFmtId="0" fontId="52" fillId="0" borderId="19" xfId="0" applyFont="1" applyBorder="1" applyAlignment="1" applyProtection="1">
      <alignment vertical="center" wrapText="1"/>
      <protection locked="0"/>
    </xf>
    <xf numFmtId="0" fontId="2" fillId="0" borderId="2" xfId="0" applyFont="1" applyBorder="1" applyAlignment="1" applyProtection="1">
      <alignment horizontal="left" vertical="center" wrapText="1"/>
      <protection hidden="1"/>
    </xf>
    <xf numFmtId="0" fontId="52" fillId="0" borderId="3" xfId="0" applyFont="1" applyBorder="1" applyAlignment="1" applyProtection="1">
      <alignment vertical="center" wrapText="1"/>
      <protection locked="0"/>
    </xf>
    <xf numFmtId="0" fontId="52" fillId="0" borderId="5" xfId="0" applyFont="1" applyBorder="1" applyAlignment="1" applyProtection="1">
      <alignment vertical="center" wrapText="1"/>
      <protection locked="0"/>
    </xf>
    <xf numFmtId="0" fontId="5" fillId="28" borderId="10" xfId="0" applyFont="1" applyFill="1" applyBorder="1" applyAlignment="1">
      <alignment vertical="center" wrapText="1"/>
    </xf>
    <xf numFmtId="0" fontId="5" fillId="28" borderId="11" xfId="0" applyFont="1" applyFill="1" applyBorder="1" applyAlignment="1">
      <alignment vertical="center" wrapText="1"/>
    </xf>
    <xf numFmtId="0" fontId="72" fillId="28" borderId="11" xfId="0" applyFont="1" applyFill="1" applyBorder="1" applyAlignment="1">
      <alignment horizontal="right" wrapText="1"/>
    </xf>
    <xf numFmtId="0" fontId="8" fillId="28" borderId="59" xfId="0" applyFont="1" applyFill="1" applyBorder="1" applyAlignment="1">
      <alignment horizontal="right" wrapText="1"/>
    </xf>
    <xf numFmtId="0" fontId="46" fillId="0" borderId="16" xfId="0" applyFont="1" applyBorder="1" applyAlignment="1" applyProtection="1">
      <alignment horizontal="left" vertical="center" wrapText="1" indent="2"/>
      <protection locked="0"/>
    </xf>
    <xf numFmtId="0" fontId="46" fillId="0" borderId="6" xfId="0" applyFont="1" applyBorder="1" applyAlignment="1" applyProtection="1">
      <alignment horizontal="left" vertical="center" wrapText="1" indent="2"/>
      <protection locked="0"/>
    </xf>
    <xf numFmtId="0" fontId="46" fillId="0" borderId="18" xfId="0" applyFont="1" applyBorder="1" applyAlignment="1" applyProtection="1">
      <alignment horizontal="left" vertical="center" wrapText="1" indent="2"/>
      <protection locked="0"/>
    </xf>
    <xf numFmtId="0" fontId="5" fillId="28" borderId="61" xfId="0" applyFont="1" applyFill="1" applyBorder="1" applyAlignment="1">
      <alignment vertical="center" wrapText="1"/>
    </xf>
    <xf numFmtId="0" fontId="5" fillId="28" borderId="60" xfId="0" applyFont="1" applyFill="1" applyBorder="1" applyAlignment="1">
      <alignment vertical="center" wrapText="1"/>
    </xf>
    <xf numFmtId="0" fontId="5" fillId="28" borderId="62" xfId="0" applyFont="1" applyFill="1" applyBorder="1" applyAlignment="1">
      <alignment vertical="center" wrapText="1"/>
    </xf>
    <xf numFmtId="0" fontId="8" fillId="28" borderId="63" xfId="0" applyFont="1" applyFill="1" applyBorder="1" applyAlignment="1">
      <alignment horizontal="left" vertical="center" wrapText="1" indent="1"/>
    </xf>
    <xf numFmtId="0" fontId="8" fillId="28" borderId="64" xfId="0" applyFont="1" applyFill="1" applyBorder="1" applyAlignment="1">
      <alignment horizontal="left" vertical="center" wrapText="1" indent="1"/>
    </xf>
    <xf numFmtId="0" fontId="8" fillId="28" borderId="65" xfId="0" applyFont="1" applyFill="1" applyBorder="1" applyAlignment="1">
      <alignment horizontal="left" vertical="center" wrapText="1" indent="1"/>
    </xf>
    <xf numFmtId="0" fontId="46" fillId="0" borderId="26" xfId="0" applyFont="1" applyBorder="1" applyAlignment="1" applyProtection="1">
      <alignment horizontal="left" vertical="center" wrapText="1" indent="2"/>
      <protection locked="0"/>
    </xf>
    <xf numFmtId="0" fontId="46" fillId="0" borderId="22" xfId="0" applyFont="1" applyBorder="1" applyAlignment="1" applyProtection="1">
      <alignment horizontal="left" vertical="center" wrapText="1" indent="2"/>
      <protection locked="0"/>
    </xf>
    <xf numFmtId="2" fontId="8" fillId="28" borderId="51" xfId="0" applyNumberFormat="1" applyFont="1" applyFill="1" applyBorder="1" applyAlignment="1">
      <alignment horizontal="left" vertical="center" wrapText="1" indent="1"/>
    </xf>
    <xf numFmtId="2" fontId="8" fillId="28" borderId="58" xfId="0" applyNumberFormat="1" applyFont="1" applyFill="1" applyBorder="1" applyAlignment="1">
      <alignment horizontal="left" vertical="center" wrapText="1" indent="1"/>
    </xf>
    <xf numFmtId="2" fontId="8" fillId="28" borderId="52" xfId="0" applyNumberFormat="1" applyFont="1" applyFill="1" applyBorder="1" applyAlignment="1">
      <alignment horizontal="left" vertical="center" wrapText="1" indent="1"/>
    </xf>
    <xf numFmtId="0" fontId="73" fillId="28" borderId="66" xfId="0" applyFont="1" applyFill="1" applyBorder="1" applyAlignment="1" applyProtection="1">
      <alignment horizontal="center" vertical="center" wrapText="1"/>
      <protection locked="0"/>
    </xf>
    <xf numFmtId="0" fontId="73" fillId="28" borderId="65" xfId="0" applyFont="1" applyFill="1" applyBorder="1" applyAlignment="1" applyProtection="1">
      <alignment horizontal="center" vertical="center" wrapText="1"/>
      <protection locked="0"/>
    </xf>
    <xf numFmtId="0" fontId="8" fillId="28" borderId="38" xfId="0" applyFont="1" applyFill="1" applyBorder="1" applyAlignment="1">
      <alignment horizontal="left" vertical="center" wrapText="1" indent="1"/>
    </xf>
    <xf numFmtId="0" fontId="8" fillId="28" borderId="39" xfId="0" applyFont="1" applyFill="1" applyBorder="1" applyAlignment="1">
      <alignment horizontal="left" vertical="center" wrapText="1" indent="1"/>
    </xf>
    <xf numFmtId="0" fontId="82" fillId="28" borderId="39" xfId="0" applyFont="1" applyFill="1" applyBorder="1" applyAlignment="1">
      <alignment horizontal="left" wrapText="1"/>
    </xf>
    <xf numFmtId="0" fontId="82" fillId="28" borderId="43" xfId="0" applyFont="1" applyFill="1" applyBorder="1" applyAlignment="1">
      <alignment horizontal="left" wrapText="1"/>
    </xf>
    <xf numFmtId="0" fontId="25" fillId="11" borderId="2" xfId="0" applyFont="1" applyFill="1" applyBorder="1" applyAlignment="1">
      <alignment horizontal="center" vertical="center" wrapText="1"/>
    </xf>
    <xf numFmtId="0" fontId="25" fillId="16" borderId="3" xfId="0" applyFont="1" applyFill="1" applyBorder="1" applyAlignment="1">
      <alignment horizontal="center" vertical="center" wrapText="1"/>
    </xf>
    <xf numFmtId="0" fontId="25" fillId="16" borderId="5" xfId="0" applyFont="1" applyFill="1" applyBorder="1" applyAlignment="1">
      <alignment horizontal="center" vertical="center" wrapText="1"/>
    </xf>
    <xf numFmtId="0" fontId="25" fillId="17" borderId="3" xfId="0" applyFont="1" applyFill="1" applyBorder="1" applyAlignment="1">
      <alignment horizontal="center" vertical="center" wrapText="1"/>
    </xf>
    <xf numFmtId="0" fontId="25" fillId="17" borderId="4" xfId="0" applyFont="1" applyFill="1" applyBorder="1" applyAlignment="1">
      <alignment horizontal="center" vertical="center" wrapText="1"/>
    </xf>
    <xf numFmtId="0" fontId="25" fillId="17" borderId="5" xfId="0" applyFont="1" applyFill="1" applyBorder="1" applyAlignment="1">
      <alignment horizontal="center" vertical="center" wrapText="1"/>
    </xf>
    <xf numFmtId="0" fontId="26" fillId="12" borderId="2" xfId="0" applyFont="1" applyFill="1" applyBorder="1" applyAlignment="1">
      <alignment horizontal="center" vertical="top" wrapText="1"/>
    </xf>
    <xf numFmtId="0" fontId="25" fillId="19" borderId="17" xfId="0" applyFont="1" applyFill="1" applyBorder="1" applyAlignment="1">
      <alignment horizontal="center" vertical="center" wrapText="1"/>
    </xf>
    <xf numFmtId="0" fontId="25" fillId="19" borderId="6"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18" fillId="5" borderId="1" xfId="0" applyFont="1" applyFill="1" applyBorder="1" applyAlignment="1">
      <alignment horizontal="center" vertical="center"/>
    </xf>
    <xf numFmtId="0" fontId="19" fillId="5" borderId="1" xfId="0" applyFont="1" applyFill="1" applyBorder="1" applyAlignment="1">
      <alignment vertical="center"/>
    </xf>
    <xf numFmtId="0" fontId="25" fillId="14" borderId="2" xfId="0" applyFont="1" applyFill="1" applyBorder="1" applyAlignment="1">
      <alignment horizontal="center" vertical="center" wrapText="1"/>
    </xf>
    <xf numFmtId="0" fontId="2" fillId="0" borderId="81" xfId="0" applyFont="1" applyBorder="1" applyAlignment="1" applyProtection="1">
      <alignment horizontal="center"/>
      <protection hidden="1"/>
    </xf>
    <xf numFmtId="0" fontId="2" fillId="0" borderId="58" xfId="0" applyFont="1" applyBorder="1" applyAlignment="1" applyProtection="1">
      <alignment horizontal="center"/>
      <protection hidden="1"/>
    </xf>
    <xf numFmtId="0" fontId="2" fillId="25" borderId="81" xfId="0" applyFont="1" applyFill="1" applyBorder="1" applyAlignment="1" applyProtection="1">
      <alignment horizontal="center"/>
      <protection hidden="1"/>
    </xf>
    <xf numFmtId="0" fontId="2" fillId="25" borderId="58" xfId="0" applyFont="1" applyFill="1" applyBorder="1" applyAlignment="1" applyProtection="1">
      <alignment horizontal="center"/>
      <protection hidden="1"/>
    </xf>
    <xf numFmtId="0" fontId="0" fillId="0" borderId="52"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25" borderId="52" xfId="0" applyFill="1" applyBorder="1" applyAlignment="1" applyProtection="1">
      <alignment horizontal="center" vertical="center"/>
      <protection hidden="1"/>
    </xf>
    <xf numFmtId="0" fontId="0" fillId="25" borderId="50"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57" xfId="0" applyBorder="1" applyAlignment="1" applyProtection="1">
      <alignment horizontal="center" vertical="center"/>
      <protection hidden="1"/>
    </xf>
    <xf numFmtId="0" fontId="3" fillId="0" borderId="73" xfId="0" applyFont="1" applyBorder="1" applyAlignment="1" applyProtection="1">
      <alignment horizontal="center" vertical="center"/>
      <protection locked="0" hidden="1"/>
    </xf>
    <xf numFmtId="0" fontId="3" fillId="0" borderId="39" xfId="0" applyFont="1" applyBorder="1" applyAlignment="1" applyProtection="1">
      <alignment horizontal="center" vertical="center"/>
      <protection locked="0" hidden="1"/>
    </xf>
    <xf numFmtId="0" fontId="9" fillId="0" borderId="38" xfId="0" applyFont="1" applyBorder="1" applyAlignment="1" applyProtection="1">
      <alignment horizontal="center"/>
      <protection hidden="1"/>
    </xf>
    <xf numFmtId="0" fontId="9" fillId="0" borderId="43" xfId="0" applyFont="1" applyBorder="1" applyAlignment="1" applyProtection="1">
      <alignment horizontal="center"/>
      <protection hidden="1"/>
    </xf>
    <xf numFmtId="0" fontId="9" fillId="0" borderId="11" xfId="0" applyFont="1" applyBorder="1"/>
    <xf numFmtId="0" fontId="0" fillId="0" borderId="82" xfId="0" applyBorder="1" applyAlignment="1" applyProtection="1">
      <alignment horizontal="center"/>
      <protection hidden="1"/>
    </xf>
    <xf numFmtId="0" fontId="0" fillId="0" borderId="31" xfId="0" applyBorder="1" applyAlignment="1" applyProtection="1">
      <alignment horizontal="center"/>
      <protection hidden="1"/>
    </xf>
    <xf numFmtId="0" fontId="79" fillId="22" borderId="93" xfId="0" applyFont="1" applyFill="1" applyBorder="1" applyAlignment="1" applyProtection="1">
      <alignment horizontal="left"/>
      <protection hidden="1"/>
    </xf>
    <xf numFmtId="0" fontId="16" fillId="0" borderId="0" xfId="0" applyFont="1" applyAlignment="1">
      <alignment horizontal="right" vertical="center"/>
    </xf>
    <xf numFmtId="0" fontId="3" fillId="0" borderId="73" xfId="0" applyFont="1" applyBorder="1" applyAlignment="1" applyProtection="1">
      <alignment horizontal="center"/>
      <protection locked="0" hidden="1"/>
    </xf>
    <xf numFmtId="0" fontId="3" fillId="0" borderId="39" xfId="0" applyFont="1" applyBorder="1" applyAlignment="1" applyProtection="1">
      <alignment horizontal="center"/>
      <protection locked="0" hidden="1"/>
    </xf>
    <xf numFmtId="0" fontId="0" fillId="0" borderId="0" xfId="0" applyProtection="1">
      <protection hidden="1"/>
    </xf>
    <xf numFmtId="0" fontId="0" fillId="0" borderId="0" xfId="0" applyAlignment="1" applyProtection="1">
      <alignment horizontal="right"/>
      <protection hidden="1"/>
    </xf>
    <xf numFmtId="14" fontId="9" fillId="0" borderId="4" xfId="0" applyNumberFormat="1" applyFont="1" applyBorder="1" applyAlignment="1" applyProtection="1">
      <alignment horizontal="center"/>
      <protection locked="0" hidden="1"/>
    </xf>
    <xf numFmtId="14" fontId="2" fillId="7" borderId="0" xfId="0" applyNumberFormat="1" applyFont="1" applyFill="1" applyAlignment="1" applyProtection="1">
      <alignment horizontal="left" vertical="top"/>
      <protection locked="0" hidden="1"/>
    </xf>
    <xf numFmtId="0" fontId="0" fillId="0" borderId="0" xfId="0"/>
    <xf numFmtId="0" fontId="47" fillId="22" borderId="83" xfId="0" applyFont="1" applyFill="1" applyBorder="1" applyAlignment="1" applyProtection="1">
      <alignment horizontal="center" vertical="center" textRotation="90"/>
      <protection hidden="1"/>
    </xf>
    <xf numFmtId="0" fontId="47" fillId="22" borderId="84" xfId="0" applyFont="1" applyFill="1" applyBorder="1" applyAlignment="1" applyProtection="1">
      <alignment horizontal="center" vertical="center" textRotation="90"/>
      <protection hidden="1"/>
    </xf>
    <xf numFmtId="0" fontId="47" fillId="22" borderId="85" xfId="0" applyFont="1" applyFill="1" applyBorder="1" applyAlignment="1" applyProtection="1">
      <alignment horizontal="center" vertical="center" textRotation="90"/>
      <protection hidden="1"/>
    </xf>
    <xf numFmtId="0" fontId="42" fillId="0" borderId="0" xfId="0" applyFont="1" applyAlignment="1" applyProtection="1">
      <alignment horizontal="center"/>
      <protection hidden="1"/>
    </xf>
    <xf numFmtId="0" fontId="9" fillId="0" borderId="3" xfId="0" applyFont="1" applyBorder="1" applyAlignment="1" applyProtection="1">
      <alignment horizontal="center" vertical="center"/>
      <protection locked="0" hidden="1"/>
    </xf>
    <xf numFmtId="0" fontId="9" fillId="0" borderId="5" xfId="0" applyFont="1" applyBorder="1" applyAlignment="1" applyProtection="1">
      <alignment horizontal="center" vertical="center"/>
      <protection locked="0" hidden="1"/>
    </xf>
    <xf numFmtId="0" fontId="24" fillId="0" borderId="0" xfId="0" applyFont="1" applyAlignment="1" applyProtection="1">
      <alignment horizontal="left"/>
      <protection hidden="1"/>
    </xf>
    <xf numFmtId="0" fontId="16" fillId="0" borderId="0" xfId="0" applyFont="1" applyAlignment="1">
      <alignment horizontal="right" vertical="top" indent="1"/>
    </xf>
    <xf numFmtId="0" fontId="16" fillId="0" borderId="0" xfId="0" applyFont="1" applyAlignment="1">
      <alignment horizontal="right" vertical="center" indent="1"/>
    </xf>
    <xf numFmtId="0" fontId="78" fillId="22" borderId="92" xfId="0" applyFont="1" applyFill="1" applyBorder="1" applyAlignment="1">
      <alignment horizontal="right"/>
    </xf>
    <xf numFmtId="0" fontId="78" fillId="22" borderId="93" xfId="0" applyFont="1" applyFill="1" applyBorder="1" applyAlignment="1">
      <alignment horizontal="right"/>
    </xf>
    <xf numFmtId="0" fontId="22" fillId="0" borderId="0" xfId="0" applyFont="1" applyAlignment="1" applyProtection="1">
      <alignment horizontal="left"/>
      <protection hidden="1"/>
    </xf>
    <xf numFmtId="0" fontId="20" fillId="0" borderId="78" xfId="0" applyFont="1" applyBorder="1" applyAlignment="1" applyProtection="1">
      <alignment vertical="center"/>
      <protection hidden="1"/>
    </xf>
    <xf numFmtId="0" fontId="20" fillId="0" borderId="23" xfId="0" applyFont="1" applyBorder="1" applyAlignment="1" applyProtection="1">
      <alignment vertical="center"/>
      <protection hidden="1"/>
    </xf>
    <xf numFmtId="0" fontId="20" fillId="0" borderId="79" xfId="0" applyFont="1" applyBorder="1" applyAlignment="1" applyProtection="1">
      <alignment vertical="center"/>
      <protection hidden="1"/>
    </xf>
    <xf numFmtId="49" fontId="2" fillId="0" borderId="0" xfId="4" applyNumberFormat="1" applyFont="1" applyAlignment="1" applyProtection="1">
      <alignment horizontal="left" vertical="top" wrapText="1" indent="5"/>
      <protection locked="0" hidden="1"/>
    </xf>
    <xf numFmtId="49" fontId="2" fillId="0" borderId="0" xfId="0" applyNumberFormat="1" applyFont="1" applyAlignment="1" applyProtection="1">
      <alignment horizontal="left" vertical="top" wrapText="1" indent="5"/>
      <protection locked="0" hidden="1"/>
    </xf>
    <xf numFmtId="14" fontId="9" fillId="0" borderId="1" xfId="0" applyNumberFormat="1" applyFont="1" applyBorder="1" applyAlignment="1" applyProtection="1">
      <alignment horizontal="center"/>
      <protection hidden="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42" fillId="0" borderId="0" xfId="0" applyFont="1" applyAlignment="1" applyProtection="1">
      <alignment horizontal="center" wrapText="1"/>
      <protection hidden="1"/>
    </xf>
    <xf numFmtId="0" fontId="23" fillId="0" borderId="0" xfId="0" applyFont="1" applyAlignment="1">
      <alignment horizontal="left" vertical="top" wrapText="1"/>
    </xf>
    <xf numFmtId="0" fontId="9" fillId="25" borderId="73" xfId="0" applyFont="1" applyFill="1" applyBorder="1" applyAlignment="1" applyProtection="1">
      <alignment horizontal="center" vertical="center"/>
      <protection locked="0" hidden="1"/>
    </xf>
    <xf numFmtId="0" fontId="9" fillId="25" borderId="39" xfId="0" applyFont="1" applyFill="1" applyBorder="1" applyAlignment="1" applyProtection="1">
      <alignment horizontal="center" vertical="center"/>
      <protection locked="0" hidden="1"/>
    </xf>
    <xf numFmtId="0" fontId="3" fillId="0" borderId="73" xfId="0" applyFont="1" applyBorder="1" applyAlignment="1" applyProtection="1">
      <alignment horizontal="center" vertical="center" wrapText="1"/>
      <protection locked="0" hidden="1"/>
    </xf>
    <xf numFmtId="0" fontId="9" fillId="25" borderId="38" xfId="0" applyFont="1" applyFill="1" applyBorder="1" applyAlignment="1" applyProtection="1">
      <alignment horizontal="center"/>
      <protection hidden="1"/>
    </xf>
    <xf numFmtId="0" fontId="9" fillId="25" borderId="43" xfId="0" applyFont="1" applyFill="1" applyBorder="1" applyAlignment="1" applyProtection="1">
      <alignment horizontal="center"/>
      <protection hidden="1"/>
    </xf>
    <xf numFmtId="0" fontId="0" fillId="0" borderId="0" xfId="0" applyAlignment="1">
      <alignment horizontal="center" vertical="center" textRotation="9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0" fillId="0" borderId="77" xfId="0" applyBorder="1" applyAlignment="1">
      <alignment horizontal="center" vertical="center" wrapText="1"/>
    </xf>
    <xf numFmtId="0" fontId="0" fillId="0" borderId="99" xfId="0" applyBorder="1" applyAlignment="1">
      <alignment horizontal="center" vertical="center" wrapText="1"/>
    </xf>
    <xf numFmtId="0" fontId="0" fillId="0" borderId="101" xfId="0" applyBorder="1" applyAlignment="1">
      <alignment horizontal="center" vertical="center" wrapText="1"/>
    </xf>
    <xf numFmtId="0" fontId="0" fillId="3" borderId="78" xfId="0" applyFill="1" applyBorder="1" applyAlignment="1">
      <alignment vertical="center"/>
    </xf>
    <xf numFmtId="0" fontId="0" fillId="3" borderId="79" xfId="0" applyFill="1" applyBorder="1" applyAlignment="1">
      <alignment vertical="center"/>
    </xf>
    <xf numFmtId="0" fontId="0" fillId="3" borderId="0" xfId="0" applyFill="1" applyAlignment="1">
      <alignment horizontal="right" vertical="center"/>
    </xf>
    <xf numFmtId="0" fontId="5" fillId="22" borderId="6" xfId="0" applyFont="1" applyFill="1" applyBorder="1" applyAlignment="1">
      <alignment horizontal="left" vertical="center"/>
    </xf>
    <xf numFmtId="0" fontId="5" fillId="22" borderId="18" xfId="0" applyFont="1" applyFill="1" applyBorder="1" applyAlignment="1">
      <alignment horizontal="left" vertical="center"/>
    </xf>
    <xf numFmtId="0" fontId="0" fillId="3" borderId="78" xfId="0" applyFill="1" applyBorder="1" applyAlignment="1">
      <alignment horizontal="left" vertical="center"/>
    </xf>
    <xf numFmtId="0" fontId="0" fillId="3" borderId="79" xfId="0" applyFill="1" applyBorder="1" applyAlignment="1">
      <alignment horizontal="left" vertical="center"/>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9" fillId="3" borderId="0" xfId="0" applyFont="1" applyFill="1" applyAlignment="1">
      <alignment horizontal="right" vertical="center"/>
    </xf>
    <xf numFmtId="0" fontId="9" fillId="4" borderId="71" xfId="0" applyFont="1" applyFill="1" applyBorder="1" applyAlignment="1">
      <alignment horizontal="right" vertical="center"/>
    </xf>
    <xf numFmtId="0" fontId="7" fillId="3" borderId="37" xfId="0" applyFont="1" applyFill="1" applyBorder="1" applyAlignment="1">
      <alignment horizontal="right" vertical="center" wrapText="1"/>
    </xf>
    <xf numFmtId="0" fontId="7" fillId="3" borderId="37" xfId="0" applyFont="1" applyFill="1" applyBorder="1" applyAlignment="1">
      <alignment horizontal="right" vertical="center"/>
    </xf>
    <xf numFmtId="0" fontId="5" fillId="0" borderId="30" xfId="0" applyFont="1" applyBorder="1" applyAlignment="1">
      <alignment horizontal="center" vertical="center"/>
    </xf>
    <xf numFmtId="0" fontId="13" fillId="22" borderId="0" xfId="0" applyFont="1" applyFill="1" applyAlignment="1">
      <alignment horizontal="center" vertical="center" wrapText="1"/>
    </xf>
    <xf numFmtId="0" fontId="13" fillId="22" borderId="1" xfId="0" applyFont="1" applyFill="1" applyBorder="1" applyAlignment="1">
      <alignment horizontal="center" vertical="center" wrapText="1"/>
    </xf>
    <xf numFmtId="0" fontId="0" fillId="3" borderId="27" xfId="0" applyFill="1" applyBorder="1" applyAlignment="1">
      <alignment horizontal="right" vertical="center"/>
    </xf>
    <xf numFmtId="0" fontId="0" fillId="4" borderId="0" xfId="0" applyFill="1" applyAlignment="1">
      <alignment horizontal="right" vertical="center"/>
    </xf>
    <xf numFmtId="0" fontId="5" fillId="22" borderId="4" xfId="0" applyFont="1" applyFill="1" applyBorder="1" applyAlignment="1">
      <alignment horizontal="left" vertical="center"/>
    </xf>
    <xf numFmtId="0" fontId="5" fillId="22" borderId="5" xfId="0" applyFont="1" applyFill="1" applyBorder="1" applyAlignment="1">
      <alignment horizontal="left" vertical="center"/>
    </xf>
    <xf numFmtId="0" fontId="5" fillId="22" borderId="4" xfId="0" applyFont="1" applyFill="1" applyBorder="1" applyAlignment="1">
      <alignment vertical="center"/>
    </xf>
    <xf numFmtId="0" fontId="5" fillId="22" borderId="5" xfId="0" applyFont="1" applyFill="1" applyBorder="1" applyAlignment="1">
      <alignment vertical="center"/>
    </xf>
    <xf numFmtId="0" fontId="0" fillId="0" borderId="0" xfId="0" applyAlignment="1">
      <alignment horizontal="center" vertical="center" wrapText="1"/>
    </xf>
  </cellXfs>
  <cellStyles count="6">
    <cellStyle name="Comma" xfId="3" builtinId="3"/>
    <cellStyle name="Currency" xfId="1" builtinId="4"/>
    <cellStyle name="Hyperlink" xfId="4" builtinId="8"/>
    <cellStyle name="Normal" xfId="0" builtinId="0"/>
    <cellStyle name="Normal 2" xfId="5" xr:uid="{00000000-0005-0000-0000-000004000000}"/>
    <cellStyle name="Percent" xfId="2" builtinId="5"/>
  </cellStyles>
  <dxfs count="2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ont>
        <strike val="0"/>
      </font>
      <fill>
        <patternFill>
          <bgColor theme="9" tint="0.79998168889431442"/>
        </patternFill>
      </fill>
    </dxf>
    <dxf>
      <fill>
        <patternFill>
          <bgColor theme="9" tint="-0.24994659260841701"/>
        </patternFill>
      </fill>
    </dxf>
    <dxf>
      <fill>
        <patternFill>
          <bgColor rgb="FFFF0000"/>
        </patternFill>
      </fill>
    </dxf>
    <dxf>
      <font>
        <strike val="0"/>
      </font>
      <fill>
        <patternFill>
          <bgColor rgb="FFFF0000"/>
        </patternFill>
      </fill>
    </dxf>
    <dxf>
      <font>
        <strike val="0"/>
      </font>
      <fill>
        <patternFill>
          <bgColor theme="9" tint="0.79998168889431442"/>
        </patternFill>
      </fill>
    </dxf>
    <dxf>
      <fill>
        <patternFill>
          <bgColor rgb="FFFF0000"/>
        </patternFill>
      </fill>
    </dxf>
    <dxf>
      <fill>
        <patternFill>
          <bgColor rgb="FFFF0000"/>
        </patternFill>
      </fill>
    </dxf>
    <dxf>
      <fill>
        <patternFill>
          <bgColor rgb="FFFF0000"/>
        </patternFill>
      </fill>
    </dxf>
    <dxf>
      <font>
        <b/>
        <i val="0"/>
        <strike val="0"/>
        <color rgb="FFFF0000"/>
      </font>
      <fill>
        <patternFill>
          <bgColor theme="9" tint="0.39994506668294322"/>
        </patternFill>
      </fill>
    </dxf>
    <dxf>
      <font>
        <b/>
        <i val="0"/>
        <color rgb="FFFF0000"/>
      </font>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ont>
        <strike val="0"/>
      </font>
      <fill>
        <patternFill>
          <bgColor theme="9" tint="0.39994506668294322"/>
        </patternFill>
      </fill>
    </dxf>
    <dxf>
      <font>
        <b/>
        <i val="0"/>
        <color rgb="FFFF0000"/>
      </font>
      <fill>
        <patternFill>
          <bgColor theme="9" tint="0.39994506668294322"/>
        </patternFill>
      </fill>
    </dxf>
    <dxf>
      <font>
        <strike val="0"/>
      </font>
      <fill>
        <patternFill>
          <bgColor theme="0"/>
        </patternFill>
      </fill>
    </dxf>
    <dxf>
      <font>
        <strike val="0"/>
      </font>
      <fill>
        <patternFill>
          <bgColor theme="9" tint="0.39994506668294322"/>
        </patternFill>
      </fill>
    </dxf>
    <dxf>
      <font>
        <b/>
        <i val="0"/>
        <strike val="0"/>
        <color rgb="FFFF0000"/>
      </font>
      <fill>
        <patternFill>
          <bgColor theme="9" tint="0.39994506668294322"/>
        </patternFill>
      </fill>
    </dxf>
    <dxf>
      <fill>
        <patternFill>
          <bgColor theme="5" tint="0.39994506668294322"/>
        </patternFill>
      </fill>
    </dxf>
    <dxf>
      <font>
        <color rgb="FFC00000"/>
      </font>
      <fill>
        <patternFill>
          <bgColor rgb="FFE6B8B7"/>
        </patternFill>
      </fill>
    </dxf>
    <dxf>
      <font>
        <color rgb="FFC00000"/>
      </font>
      <fill>
        <patternFill>
          <bgColor rgb="FFE6B8B7"/>
        </patternFill>
      </fill>
    </dxf>
    <dxf>
      <font>
        <color rgb="FFC00000"/>
      </font>
      <fill>
        <patternFill>
          <bgColor rgb="FFE6B8B7"/>
        </patternFill>
      </fill>
    </dxf>
    <dxf>
      <font>
        <color rgb="FFC00000"/>
      </font>
      <fill>
        <patternFill>
          <bgColor theme="5" tint="0.59996337778862885"/>
        </patternFill>
      </fill>
    </dxf>
    <dxf>
      <font>
        <color auto="1"/>
      </font>
      <fill>
        <patternFill>
          <bgColor theme="6" tint="0.79998168889431442"/>
        </patternFill>
      </fill>
    </dxf>
    <dxf>
      <font>
        <color rgb="FFC00000"/>
      </font>
      <fill>
        <patternFill>
          <bgColor theme="5" tint="0.59996337778862885"/>
        </patternFill>
      </fill>
    </dxf>
    <dxf>
      <numFmt numFmtId="173" formatCode="000000000000"/>
    </dxf>
    <dxf>
      <numFmt numFmtId="174" formatCode="0000000000"/>
    </dxf>
    <dxf>
      <numFmt numFmtId="30" formatCode="@"/>
    </dxf>
    <dxf>
      <numFmt numFmtId="173" formatCode="000000000000"/>
    </dxf>
    <dxf>
      <numFmt numFmtId="174" formatCode="0000000000"/>
    </dxf>
    <dxf>
      <numFmt numFmtId="30" formatCode="@"/>
    </dxf>
    <dxf>
      <font>
        <color rgb="FFC00000"/>
      </font>
      <fill>
        <patternFill>
          <bgColor rgb="FFE6B8B7"/>
        </patternFill>
      </fill>
    </dxf>
    <dxf>
      <fill>
        <patternFill>
          <bgColor theme="5" tint="0.59996337778862885"/>
        </patternFill>
      </fill>
    </dxf>
    <dxf>
      <fill>
        <patternFill>
          <bgColor theme="5" tint="0.39994506668294322"/>
        </patternFill>
      </fill>
    </dxf>
    <dxf>
      <font>
        <color rgb="FFC00000"/>
      </font>
      <fill>
        <patternFill>
          <bgColor rgb="FFE6B8B7"/>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rgb="FFE6B8B7"/>
        </patternFill>
      </fill>
    </dxf>
    <dxf>
      <font>
        <color rgb="FFC00000"/>
      </font>
      <fill>
        <patternFill>
          <bgColor theme="5" tint="0.59996337778862885"/>
        </patternFill>
      </fill>
    </dxf>
    <dxf>
      <font>
        <color rgb="FFC00000"/>
      </font>
      <fill>
        <patternFill>
          <bgColor rgb="FFE6B8B7"/>
        </patternFill>
      </fill>
    </dxf>
    <dxf>
      <font>
        <color rgb="FFC00000"/>
      </font>
      <fill>
        <patternFill>
          <bgColor rgb="FFE6B8B7"/>
        </patternFill>
      </fill>
    </dxf>
    <dxf>
      <font>
        <color auto="1"/>
      </font>
      <fill>
        <patternFill>
          <bgColor rgb="FFE6AEEC"/>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strike val="0"/>
        <color theme="1"/>
      </font>
      <fill>
        <patternFill>
          <fgColor rgb="FF006600"/>
          <bgColor theme="0"/>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rgb="FFE6B8B7"/>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dxf>
    <dxf>
      <border outline="0">
        <bottom style="thin">
          <color theme="4" tint="0.39997558519241921"/>
        </bottom>
      </border>
    </dxf>
    <dxf>
      <fill>
        <patternFill patternType="none">
          <fgColor indexed="64"/>
          <bgColor auto="1"/>
        </patternFill>
      </fill>
    </dxf>
    <dxf>
      <fill>
        <patternFill patternType="none">
          <fgColor indexed="64"/>
          <bgColor auto="1"/>
        </patternFill>
      </fill>
      <alignment horizontal="general" vertical="center" textRotation="0" wrapText="0" indent="0" justifyLastLine="0" shrinkToFit="0" readingOrder="0"/>
    </dxf>
    <dxf>
      <numFmt numFmtId="13" formatCode="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bottom/>
        <vertical/>
        <horizontal/>
      </border>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numFmt numFmtId="13" formatCode="0%"/>
      <fill>
        <patternFill patternType="none">
          <fgColor indexed="64"/>
          <bgColor indexed="65"/>
        </patternFill>
      </fill>
      <alignment horizontal="general" vertical="center" textRotation="0" wrapText="0" indent="0" justifyLastLine="0" shrinkToFit="0" readingOrder="0"/>
    </dxf>
    <dxf>
      <numFmt numFmtId="13" formatCode="0%"/>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border diagonalUp="0" diagonalDown="0">
        <left/>
        <right style="medium">
          <color indexed="64"/>
        </right>
        <top/>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bottom/>
        <vertical/>
        <horizontal/>
      </border>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general" vertical="center" textRotation="0" wrapText="0" indent="0" justifyLastLine="0" shrinkToFit="0" readingOrder="0"/>
      <border diagonalUp="0" diagonalDown="0" outline="0">
        <left style="medium">
          <color indexed="64"/>
        </left>
        <right/>
        <top/>
        <bottom/>
      </border>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scheme val="minor"/>
      </font>
    </dxf>
    <dxf>
      <font>
        <b val="0"/>
        <i val="0"/>
        <strike/>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solid">
          <fgColor indexed="64"/>
          <bgColor theme="0" tint="-0.1499984740745262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0" tint="-0.14999847407452621"/>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left" vertical="center" textRotation="0" wrapText="1"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border outline="0">
        <left style="thin">
          <color indexed="64"/>
        </left>
        <right style="thin">
          <color indexed="64"/>
        </right>
        <top style="thin">
          <color indexed="64"/>
        </top>
      </border>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1"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1"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dxf>
    <dxf>
      <font>
        <b/>
        <i val="0"/>
        <strike val="0"/>
        <condense val="0"/>
        <extend val="0"/>
        <outline val="0"/>
        <shadow val="0"/>
        <u/>
        <vertAlign val="baseline"/>
        <sz val="11"/>
        <color theme="1"/>
        <name val="Calibri"/>
        <scheme val="minor"/>
      </font>
      <alignment horizontal="general" vertical="center" textRotation="0" wrapText="0" indent="0" justifyLastLine="0" shrinkToFit="0" readingOrder="0"/>
    </dxf>
  </dxfs>
  <tableStyles count="1" defaultTableStyle="TableStyleMedium2" defaultPivotStyle="PivotStyleLight16">
    <tableStyle name="Invisible" pivot="0" table="0" count="0" xr9:uid="{66D1FDE6-5862-4B90-A0B8-076BEB29DB3A}"/>
  </tableStyles>
  <colors>
    <mruColors>
      <color rgb="FFFFFF47"/>
      <color rgb="FFEAFFB7"/>
      <color rgb="FFE6AEEC"/>
      <color rgb="FFDF83F5"/>
      <color rgb="FFEBB1F5"/>
      <color rgb="FFE595E7"/>
      <color rgb="FFFEECF9"/>
      <color rgb="FFFF93D6"/>
      <color rgb="FFFFEBF9"/>
      <color rgb="FFFFD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gogreenportal.treasurer.ca.gov/users/sign_in" TargetMode="External"/><Relationship Id="rId1" Type="http://schemas.openxmlformats.org/officeDocument/2006/relationships/hyperlink" Target="http://www.gogreenfinancing.com/residentialmeasures" TargetMode="External"/></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108862</xdr:colOff>
      <xdr:row>8</xdr:row>
      <xdr:rowOff>62733</xdr:rowOff>
    </xdr:from>
    <xdr:to>
      <xdr:col>10</xdr:col>
      <xdr:colOff>1970835</xdr:colOff>
      <xdr:row>10</xdr:row>
      <xdr:rowOff>154260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8183945" y="1808983"/>
          <a:ext cx="1861973" cy="536027"/>
        </a:xfrm>
        <a:prstGeom prst="rect">
          <a:avLst/>
        </a:prstGeom>
        <a:solidFill>
          <a:schemeClr val="accent3">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1</xdr:col>
      <xdr:colOff>424254</xdr:colOff>
      <xdr:row>7</xdr:row>
      <xdr:rowOff>193674</xdr:rowOff>
    </xdr:from>
    <xdr:to>
      <xdr:col>6</xdr:col>
      <xdr:colOff>663576</xdr:colOff>
      <xdr:row>10</xdr:row>
      <xdr:rowOff>184150</xdr:rowOff>
    </xdr:to>
    <xdr:sp macro="" textlink="">
      <xdr:nvSpPr>
        <xdr:cNvPr id="2" name="Up Arrow Callout 1">
          <a:extLst>
            <a:ext uri="{FF2B5EF4-FFF2-40B4-BE49-F238E27FC236}">
              <a16:creationId xmlns:a16="http://schemas.microsoft.com/office/drawing/2014/main" id="{00000000-0008-0000-0100-000002000000}"/>
            </a:ext>
          </a:extLst>
        </xdr:cNvPr>
        <xdr:cNvSpPr/>
      </xdr:nvSpPr>
      <xdr:spPr>
        <a:xfrm>
          <a:off x="731171" y="1654174"/>
          <a:ext cx="3784738" cy="678393"/>
        </a:xfrm>
        <a:prstGeom prst="upArrowCallout">
          <a:avLst>
            <a:gd name="adj1" fmla="val 25000"/>
            <a:gd name="adj2" fmla="val 23361"/>
            <a:gd name="adj3" fmla="val 25000"/>
            <a:gd name="adj4" fmla="val 61698"/>
          </a:avLst>
        </a:prstGeom>
        <a:solidFill>
          <a:schemeClr val="accent3">
            <a:lumMod val="20000"/>
            <a:lumOff val="80000"/>
          </a:schemeClr>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tIns="18288" bIns="0" rtlCol="0" anchor="t"/>
        <a:lstStyle/>
        <a:p>
          <a:pPr algn="ctr"/>
          <a:r>
            <a:rPr lang="en-US" sz="1100">
              <a:solidFill>
                <a:sysClr val="windowText" lastClr="000000"/>
              </a:solidFill>
            </a:rPr>
            <a:t>If you are a Self-Installer, write</a:t>
          </a:r>
          <a:r>
            <a:rPr lang="en-US" sz="1100" baseline="0">
              <a:solidFill>
                <a:sysClr val="windowText" lastClr="000000"/>
              </a:solidFill>
            </a:rPr>
            <a:t> "Self-Installer" in the Contractor Company field and "SI" in the CSLB License Number field.</a:t>
          </a:r>
          <a:endParaRPr lang="en-US" sz="1100">
            <a:solidFill>
              <a:sysClr val="windowText" lastClr="000000"/>
            </a:solidFill>
          </a:endParaRPr>
        </a:p>
      </xdr:txBody>
    </xdr:sp>
    <xdr:clientData/>
  </xdr:twoCellAnchor>
  <xdr:twoCellAnchor>
    <xdr:from>
      <xdr:col>11</xdr:col>
      <xdr:colOff>61760</xdr:colOff>
      <xdr:row>25</xdr:row>
      <xdr:rowOff>264584</xdr:rowOff>
    </xdr:from>
    <xdr:to>
      <xdr:col>11</xdr:col>
      <xdr:colOff>401769</xdr:colOff>
      <xdr:row>33</xdr:row>
      <xdr:rowOff>309037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9645076" y="10090885"/>
          <a:ext cx="340009" cy="3047744"/>
          <a:chOff x="10008546" y="9267824"/>
          <a:chExt cx="335607" cy="3181354"/>
        </a:xfrm>
      </xdr:grpSpPr>
      <xdr:cxnSp macro="">
        <xdr:nvCxnSpPr>
          <xdr:cNvPr id="19" name="Elbow Connector 18">
            <a:extLst>
              <a:ext uri="{FF2B5EF4-FFF2-40B4-BE49-F238E27FC236}">
                <a16:creationId xmlns:a16="http://schemas.microsoft.com/office/drawing/2014/main" id="{00000000-0008-0000-0100-000013000000}"/>
              </a:ext>
            </a:extLst>
          </xdr:cNvPr>
          <xdr:cNvCxnSpPr/>
        </xdr:nvCxnSpPr>
        <xdr:spPr>
          <a:xfrm rot="16200000" flipH="1">
            <a:off x="8591550" y="10696575"/>
            <a:ext cx="3181354" cy="323852"/>
          </a:xfrm>
          <a:prstGeom prst="bentConnector3">
            <a:avLst>
              <a:gd name="adj1" fmla="val 0"/>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a:off x="10008546" y="11545727"/>
            <a:ext cx="333375" cy="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a:xfrm flipH="1">
            <a:off x="10010775" y="12430125"/>
            <a:ext cx="333375" cy="0"/>
          </a:xfrm>
          <a:prstGeom prst="straightConnector1">
            <a:avLst/>
          </a:prstGeom>
          <a:ln w="28575">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209550</xdr:colOff>
      <xdr:row>13</xdr:row>
      <xdr:rowOff>66675</xdr:rowOff>
    </xdr:from>
    <xdr:to>
      <xdr:col>0</xdr:col>
      <xdr:colOff>533400</xdr:colOff>
      <xdr:row>13</xdr:row>
      <xdr:rowOff>352425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09550" y="3876675"/>
          <a:ext cx="32385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1</a:t>
          </a:r>
        </a:p>
      </xdr:txBody>
    </xdr:sp>
    <xdr:clientData/>
  </xdr:twoCellAnchor>
  <xdr:twoCellAnchor>
    <xdr:from>
      <xdr:col>0</xdr:col>
      <xdr:colOff>209550</xdr:colOff>
      <xdr:row>14</xdr:row>
      <xdr:rowOff>38100</xdr:rowOff>
    </xdr:from>
    <xdr:to>
      <xdr:col>0</xdr:col>
      <xdr:colOff>533400</xdr:colOff>
      <xdr:row>14</xdr:row>
      <xdr:rowOff>323850</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09550" y="4276725"/>
          <a:ext cx="32385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2</a:t>
          </a:r>
        </a:p>
      </xdr:txBody>
    </xdr:sp>
    <xdr:clientData/>
  </xdr:twoCellAnchor>
  <xdr:twoCellAnchor>
    <xdr:from>
      <xdr:col>0</xdr:col>
      <xdr:colOff>209550</xdr:colOff>
      <xdr:row>15</xdr:row>
      <xdr:rowOff>38100</xdr:rowOff>
    </xdr:from>
    <xdr:to>
      <xdr:col>1</xdr:col>
      <xdr:colOff>2241</xdr:colOff>
      <xdr:row>15</xdr:row>
      <xdr:rowOff>323850</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209550" y="5405718"/>
          <a:ext cx="9525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3</a:t>
          </a:r>
        </a:p>
      </xdr:txBody>
    </xdr:sp>
    <xdr:clientData/>
  </xdr:twoCellAnchor>
  <xdr:twoCellAnchor>
    <xdr:from>
      <xdr:col>0</xdr:col>
      <xdr:colOff>200025</xdr:colOff>
      <xdr:row>16</xdr:row>
      <xdr:rowOff>57150</xdr:rowOff>
    </xdr:from>
    <xdr:to>
      <xdr:col>0</xdr:col>
      <xdr:colOff>523875</xdr:colOff>
      <xdr:row>16</xdr:row>
      <xdr:rowOff>342900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200025" y="5086350"/>
          <a:ext cx="32385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4</a:t>
          </a:r>
        </a:p>
      </xdr:txBody>
    </xdr:sp>
    <xdr:clientData/>
  </xdr:twoCellAnchor>
  <xdr:twoCellAnchor>
    <xdr:from>
      <xdr:col>0</xdr:col>
      <xdr:colOff>200025</xdr:colOff>
      <xdr:row>17</xdr:row>
      <xdr:rowOff>66675</xdr:rowOff>
    </xdr:from>
    <xdr:to>
      <xdr:col>0</xdr:col>
      <xdr:colOff>523875</xdr:colOff>
      <xdr:row>17</xdr:row>
      <xdr:rowOff>352425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200025" y="5495925"/>
          <a:ext cx="32385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5</a:t>
          </a:r>
        </a:p>
      </xdr:txBody>
    </xdr:sp>
    <xdr:clientData/>
  </xdr:twoCellAnchor>
  <xdr:twoCellAnchor>
    <xdr:from>
      <xdr:col>0</xdr:col>
      <xdr:colOff>200025</xdr:colOff>
      <xdr:row>18</xdr:row>
      <xdr:rowOff>76200</xdr:rowOff>
    </xdr:from>
    <xdr:to>
      <xdr:col>0</xdr:col>
      <xdr:colOff>523875</xdr:colOff>
      <xdr:row>18</xdr:row>
      <xdr:rowOff>361950</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200025" y="5905500"/>
          <a:ext cx="323850"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6</a:t>
          </a:r>
        </a:p>
      </xdr:txBody>
    </xdr:sp>
    <xdr:clientData/>
  </xdr:twoCellAnchor>
  <xdr:twoCellAnchor>
    <xdr:from>
      <xdr:col>0</xdr:col>
      <xdr:colOff>193675</xdr:colOff>
      <xdr:row>19</xdr:row>
      <xdr:rowOff>59265</xdr:rowOff>
    </xdr:from>
    <xdr:to>
      <xdr:col>0</xdr:col>
      <xdr:colOff>317500</xdr:colOff>
      <xdr:row>19</xdr:row>
      <xdr:rowOff>345015</xdr:rowOff>
    </xdr:to>
    <xdr:sp macro="" textlink="">
      <xdr:nvSpPr>
        <xdr:cNvPr id="50" name="Rectangle 49">
          <a:extLst>
            <a:ext uri="{FF2B5EF4-FFF2-40B4-BE49-F238E27FC236}">
              <a16:creationId xmlns:a16="http://schemas.microsoft.com/office/drawing/2014/main" id="{00000000-0008-0000-0100-000032000000}"/>
            </a:ext>
          </a:extLst>
        </xdr:cNvPr>
        <xdr:cNvSpPr/>
      </xdr:nvSpPr>
      <xdr:spPr>
        <a:xfrm>
          <a:off x="193675" y="7224182"/>
          <a:ext cx="123825"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7</a:t>
          </a:r>
        </a:p>
      </xdr:txBody>
    </xdr:sp>
    <xdr:clientData/>
  </xdr:twoCellAnchor>
  <xdr:twoCellAnchor>
    <xdr:from>
      <xdr:col>0</xdr:col>
      <xdr:colOff>187325</xdr:colOff>
      <xdr:row>20</xdr:row>
      <xdr:rowOff>63499</xdr:rowOff>
    </xdr:from>
    <xdr:to>
      <xdr:col>0</xdr:col>
      <xdr:colOff>311150</xdr:colOff>
      <xdr:row>20</xdr:row>
      <xdr:rowOff>349249</xdr:rowOff>
    </xdr:to>
    <xdr:sp macro="" textlink="">
      <xdr:nvSpPr>
        <xdr:cNvPr id="51" name="Rectangle 50">
          <a:extLst>
            <a:ext uri="{FF2B5EF4-FFF2-40B4-BE49-F238E27FC236}">
              <a16:creationId xmlns:a16="http://schemas.microsoft.com/office/drawing/2014/main" id="{00000000-0008-0000-0100-000033000000}"/>
            </a:ext>
          </a:extLst>
        </xdr:cNvPr>
        <xdr:cNvSpPr/>
      </xdr:nvSpPr>
      <xdr:spPr>
        <a:xfrm>
          <a:off x="187325" y="7662332"/>
          <a:ext cx="123825"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8</a:t>
          </a:r>
        </a:p>
      </xdr:txBody>
    </xdr:sp>
    <xdr:clientData/>
  </xdr:twoCellAnchor>
  <xdr:twoCellAnchor>
    <xdr:from>
      <xdr:col>0</xdr:col>
      <xdr:colOff>213455</xdr:colOff>
      <xdr:row>12</xdr:row>
      <xdr:rowOff>38842</xdr:rowOff>
    </xdr:from>
    <xdr:to>
      <xdr:col>6</xdr:col>
      <xdr:colOff>691292</xdr:colOff>
      <xdr:row>12</xdr:row>
      <xdr:rowOff>457863</xdr:rowOff>
    </xdr:to>
    <xdr:sp macro="" textlink="">
      <xdr:nvSpPr>
        <xdr:cNvPr id="63" name="Rounded Rectangle 62">
          <a:hlinkClick xmlns:r="http://schemas.openxmlformats.org/officeDocument/2006/relationships" r:id="rId1"/>
          <a:extLst>
            <a:ext uri="{FF2B5EF4-FFF2-40B4-BE49-F238E27FC236}">
              <a16:creationId xmlns:a16="http://schemas.microsoft.com/office/drawing/2014/main" id="{00000000-0008-0000-0100-00003F000000}"/>
            </a:ext>
          </a:extLst>
        </xdr:cNvPr>
        <xdr:cNvSpPr/>
      </xdr:nvSpPr>
      <xdr:spPr>
        <a:xfrm>
          <a:off x="213455" y="2688995"/>
          <a:ext cx="4514623" cy="419021"/>
        </a:xfrm>
        <a:prstGeom prst="roundRect">
          <a:avLst/>
        </a:prstGeom>
        <a:solidFill>
          <a:schemeClr val="accent3">
            <a:lumMod val="20000"/>
            <a:lumOff val="80000"/>
          </a:schemeClr>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lIns="0" tIns="0" rIns="0" bIns="0" rtlCol="0" anchor="ctr"/>
        <a:lstStyle/>
        <a:p>
          <a:pPr algn="ctr"/>
          <a:r>
            <a:rPr lang="en-US" sz="1100">
              <a:solidFill>
                <a:sysClr val="windowText" lastClr="000000"/>
              </a:solidFill>
              <a:effectLst/>
              <a:latin typeface="+mn-lt"/>
              <a:ea typeface="+mn-ea"/>
              <a:cs typeface="+mn-cs"/>
            </a:rPr>
            <a:t>For </a:t>
          </a:r>
          <a:r>
            <a:rPr lang="en-US" sz="1100" baseline="0">
              <a:solidFill>
                <a:sysClr val="windowText" lastClr="000000"/>
              </a:solidFill>
              <a:effectLst/>
              <a:latin typeface="+mn-lt"/>
              <a:ea typeface="+mn-ea"/>
              <a:cs typeface="+mn-cs"/>
            </a:rPr>
            <a:t>a list of EEMs with IDs, please visit </a:t>
          </a:r>
          <a:r>
            <a:rPr lang="en-US" sz="1100" u="sng">
              <a:solidFill>
                <a:sysClr val="windowText" lastClr="000000"/>
              </a:solidFill>
              <a:effectLst/>
              <a:latin typeface="+mn-lt"/>
              <a:ea typeface="+mn-ea"/>
              <a:cs typeface="+mn-cs"/>
            </a:rPr>
            <a:t>GoGreenFinancing.com/ResidentialMeasures</a:t>
          </a:r>
          <a:endParaRPr lang="en-US" sz="1050" u="sng">
            <a:solidFill>
              <a:sysClr val="windowText" lastClr="000000"/>
            </a:solidFill>
            <a:effectLst/>
          </a:endParaRPr>
        </a:p>
      </xdr:txBody>
    </xdr:sp>
    <xdr:clientData/>
  </xdr:twoCellAnchor>
  <xdr:twoCellAnchor>
    <xdr:from>
      <xdr:col>4</xdr:col>
      <xdr:colOff>310434</xdr:colOff>
      <xdr:row>12</xdr:row>
      <xdr:rowOff>483794</xdr:rowOff>
    </xdr:from>
    <xdr:to>
      <xdr:col>6</xdr:col>
      <xdr:colOff>493488</xdr:colOff>
      <xdr:row>12</xdr:row>
      <xdr:rowOff>1423594</xdr:rowOff>
    </xdr:to>
    <xdr:sp macro="" textlink="">
      <xdr:nvSpPr>
        <xdr:cNvPr id="60" name="Down Arrow Callout 59">
          <a:extLst>
            <a:ext uri="{FF2B5EF4-FFF2-40B4-BE49-F238E27FC236}">
              <a16:creationId xmlns:a16="http://schemas.microsoft.com/office/drawing/2014/main" id="{00000000-0008-0000-0100-00003C000000}"/>
            </a:ext>
          </a:extLst>
        </xdr:cNvPr>
        <xdr:cNvSpPr/>
      </xdr:nvSpPr>
      <xdr:spPr>
        <a:xfrm>
          <a:off x="2189516" y="3133947"/>
          <a:ext cx="2340758" cy="939800"/>
        </a:xfrm>
        <a:prstGeom prst="downArrowCallout">
          <a:avLst>
            <a:gd name="adj1" fmla="val 13753"/>
            <a:gd name="adj2" fmla="val 20361"/>
            <a:gd name="adj3" fmla="val 31818"/>
            <a:gd name="adj4" fmla="val 64977"/>
          </a:avLst>
        </a:prstGeom>
        <a:solidFill>
          <a:schemeClr val="accent3">
            <a:lumMod val="20000"/>
            <a:lumOff val="80000"/>
          </a:schemeClr>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lIns="0" rIns="0" rtlCol="0" anchor="ctr"/>
        <a:lstStyle/>
        <a:p>
          <a:pPr algn="ctr"/>
          <a:r>
            <a:rPr lang="en-US" sz="1100">
              <a:solidFill>
                <a:sysClr val="windowText" lastClr="000000"/>
              </a:solidFill>
              <a:effectLst/>
              <a:latin typeface="+mn-lt"/>
              <a:ea typeface="+mn-ea"/>
              <a:cs typeface="+mn-cs"/>
            </a:rPr>
            <a:t>Please fill out the table by putting info for </a:t>
          </a:r>
          <a:r>
            <a:rPr lang="en-US" sz="1100" baseline="0">
              <a:solidFill>
                <a:sysClr val="windowText" lastClr="000000"/>
              </a:solidFill>
              <a:effectLst/>
              <a:latin typeface="+mn-lt"/>
              <a:ea typeface="+mn-ea"/>
              <a:cs typeface="+mn-cs"/>
            </a:rPr>
            <a:t> your first EEM on the first row.</a:t>
          </a:r>
          <a:endParaRPr lang="en-US" sz="1050">
            <a:solidFill>
              <a:sysClr val="windowText" lastClr="000000"/>
            </a:solidFill>
            <a:effectLst/>
          </a:endParaRPr>
        </a:p>
      </xdr:txBody>
    </xdr:sp>
    <xdr:clientData/>
  </xdr:twoCellAnchor>
  <xdr:twoCellAnchor>
    <xdr:from>
      <xdr:col>0</xdr:col>
      <xdr:colOff>110651</xdr:colOff>
      <xdr:row>12</xdr:row>
      <xdr:rowOff>489971</xdr:rowOff>
    </xdr:from>
    <xdr:to>
      <xdr:col>4</xdr:col>
      <xdr:colOff>249060</xdr:colOff>
      <xdr:row>12</xdr:row>
      <xdr:rowOff>1416834</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110651" y="3172522"/>
          <a:ext cx="1926776" cy="926863"/>
          <a:chOff x="199792" y="3143250"/>
          <a:chExt cx="1951267" cy="927224"/>
        </a:xfrm>
        <a:solidFill>
          <a:schemeClr val="accent3">
            <a:lumMod val="20000"/>
            <a:lumOff val="80000"/>
          </a:schemeClr>
        </a:solidFill>
      </xdr:grpSpPr>
      <xdr:sp macro="" textlink="">
        <xdr:nvSpPr>
          <xdr:cNvPr id="20" name="Down Arrow Callout 19">
            <a:extLst>
              <a:ext uri="{FF2B5EF4-FFF2-40B4-BE49-F238E27FC236}">
                <a16:creationId xmlns:a16="http://schemas.microsoft.com/office/drawing/2014/main" id="{00000000-0008-0000-0100-000014000000}"/>
              </a:ext>
            </a:extLst>
          </xdr:cNvPr>
          <xdr:cNvSpPr/>
        </xdr:nvSpPr>
        <xdr:spPr>
          <a:xfrm>
            <a:off x="1091370" y="3143250"/>
            <a:ext cx="1031421" cy="921194"/>
          </a:xfrm>
          <a:prstGeom prst="downArrowCallout">
            <a:avLst>
              <a:gd name="adj1" fmla="val 13753"/>
              <a:gd name="adj2" fmla="val 21117"/>
              <a:gd name="adj3" fmla="val 31818"/>
              <a:gd name="adj4" fmla="val 64977"/>
            </a:avLst>
          </a:prstGeom>
          <a:grp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endParaRPr lang="en-US" sz="1050">
              <a:solidFill>
                <a:sysClr val="windowText" lastClr="000000"/>
              </a:solidFill>
            </a:endParaRPr>
          </a:p>
        </xdr:txBody>
      </xdr:sp>
      <xdr:sp macro="" textlink="">
        <xdr:nvSpPr>
          <xdr:cNvPr id="21" name="Down Arrow Callout 20">
            <a:extLst>
              <a:ext uri="{FF2B5EF4-FFF2-40B4-BE49-F238E27FC236}">
                <a16:creationId xmlns:a16="http://schemas.microsoft.com/office/drawing/2014/main" id="{00000000-0008-0000-0100-000015000000}"/>
              </a:ext>
            </a:extLst>
          </xdr:cNvPr>
          <xdr:cNvSpPr/>
        </xdr:nvSpPr>
        <xdr:spPr>
          <a:xfrm>
            <a:off x="220575" y="3149733"/>
            <a:ext cx="935533" cy="920741"/>
          </a:xfrm>
          <a:prstGeom prst="downArrowCallout">
            <a:avLst>
              <a:gd name="adj1" fmla="val 13753"/>
              <a:gd name="adj2" fmla="val 21117"/>
              <a:gd name="adj3" fmla="val 31818"/>
              <a:gd name="adj4" fmla="val 64977"/>
            </a:avLst>
          </a:prstGeom>
          <a:grp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endParaRPr lang="en-US" sz="1050">
              <a:solidFill>
                <a:sysClr val="windowText" lastClr="000000"/>
              </a:solidFill>
            </a:endParaRPr>
          </a:p>
        </xdr:txBody>
      </xdr:sp>
      <xdr:sp macro="" textlink="">
        <xdr:nvSpPr>
          <xdr:cNvPr id="8" name="Rectangle 7">
            <a:extLst>
              <a:ext uri="{FF2B5EF4-FFF2-40B4-BE49-F238E27FC236}">
                <a16:creationId xmlns:a16="http://schemas.microsoft.com/office/drawing/2014/main" id="{00000000-0008-0000-0100-000008000000}"/>
              </a:ext>
            </a:extLst>
          </xdr:cNvPr>
          <xdr:cNvSpPr/>
        </xdr:nvSpPr>
        <xdr:spPr>
          <a:xfrm>
            <a:off x="199792" y="3144029"/>
            <a:ext cx="1951267" cy="599131"/>
          </a:xfrm>
          <a:prstGeom prst="rect">
            <a:avLst/>
          </a:prstGeom>
          <a:grpFill/>
          <a:ln>
            <a:noFill/>
          </a:ln>
          <a:effectLst/>
        </xdr:spPr>
        <xdr:style>
          <a:lnRef idx="1">
            <a:schemeClr val="accent5"/>
          </a:lnRef>
          <a:fillRef idx="2">
            <a:schemeClr val="accent5"/>
          </a:fillRef>
          <a:effectRef idx="1">
            <a:schemeClr val="accent5"/>
          </a:effectRef>
          <a:fontRef idx="minor">
            <a:schemeClr val="dk1"/>
          </a:fontRef>
        </xdr:style>
        <xdr:txBody>
          <a:bodyPr vertOverflow="clip" horzOverflow="clip" lIns="0" rIns="0" rtlCol="0" anchor="ctr"/>
          <a:lstStyle/>
          <a:p>
            <a:pPr algn="ctr"/>
            <a:r>
              <a:rPr lang="en-US" sz="1050">
                <a:solidFill>
                  <a:sysClr val="windowText" lastClr="000000"/>
                </a:solidFill>
              </a:rPr>
              <a:t>EEMs start</a:t>
            </a:r>
            <a:r>
              <a:rPr lang="en-US" sz="1050" baseline="0">
                <a:solidFill>
                  <a:sysClr val="windowText" lastClr="000000"/>
                </a:solidFill>
              </a:rPr>
              <a:t> with a 2 letter code based on Measure Type, followed by 4 letters after the hyphen.   </a:t>
            </a:r>
            <a:endParaRPr lang="en-US" sz="1050">
              <a:solidFill>
                <a:sysClr val="windowText" lastClr="000000"/>
              </a:solidFill>
            </a:endParaRPr>
          </a:p>
        </xdr:txBody>
      </xdr:sp>
    </xdr:grpSp>
    <xdr:clientData/>
  </xdr:twoCellAnchor>
  <xdr:oneCellAnchor>
    <xdr:from>
      <xdr:col>10</xdr:col>
      <xdr:colOff>1292087</xdr:colOff>
      <xdr:row>5</xdr:row>
      <xdr:rowOff>16565</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036326" y="8282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278433</xdr:colOff>
      <xdr:row>5</xdr:row>
      <xdr:rowOff>44588</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051208" y="84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579780</xdr:colOff>
      <xdr:row>3</xdr:row>
      <xdr:rowOff>140802</xdr:rowOff>
    </xdr:from>
    <xdr:to>
      <xdr:col>10</xdr:col>
      <xdr:colOff>902803</xdr:colOff>
      <xdr:row>6</xdr:row>
      <xdr:rowOff>82825</xdr:rowOff>
    </xdr:to>
    <xdr:sp macro="" textlink="">
      <xdr:nvSpPr>
        <xdr:cNvPr id="7" name="Down Arrow Callout 6">
          <a:extLst>
            <a:ext uri="{FF2B5EF4-FFF2-40B4-BE49-F238E27FC236}">
              <a16:creationId xmlns:a16="http://schemas.microsoft.com/office/drawing/2014/main" id="{00000000-0008-0000-0100-000007000000}"/>
            </a:ext>
          </a:extLst>
        </xdr:cNvPr>
        <xdr:cNvSpPr/>
      </xdr:nvSpPr>
      <xdr:spPr>
        <a:xfrm>
          <a:off x="7462628" y="521802"/>
          <a:ext cx="1184414" cy="621197"/>
        </a:xfrm>
        <a:prstGeom prst="downArrowCallout">
          <a:avLst/>
        </a:prstGeom>
        <a:solidFill>
          <a:schemeClr val="accent3">
            <a:lumMod val="20000"/>
            <a:lumOff val="80000"/>
          </a:schemeClr>
        </a:solidFill>
        <a:ln>
          <a:solidFill>
            <a:schemeClr val="tx1"/>
          </a:solidFill>
        </a:ln>
      </xdr:spPr>
      <xdr:style>
        <a:lnRef idx="1">
          <a:schemeClr val="accent5"/>
        </a:lnRef>
        <a:fillRef idx="2">
          <a:schemeClr val="accent5"/>
        </a:fillRef>
        <a:effectRef idx="1">
          <a:schemeClr val="accent5"/>
        </a:effectRef>
        <a:fontRef idx="minor">
          <a:schemeClr val="dk1"/>
        </a:fontRef>
      </xdr:style>
      <xdr:txBody>
        <a:bodyPr vertOverflow="clip" horzOverflow="clip" vert="horz" tIns="18288" bIns="0" rtlCol="0" anchor="t"/>
        <a:lstStyle/>
        <a:p>
          <a:pPr marL="0" indent="0" algn="ctr"/>
          <a:r>
            <a:rPr lang="en-US" sz="1100">
              <a:solidFill>
                <a:schemeClr val="dk1"/>
              </a:solidFill>
              <a:latin typeface="+mn-lt"/>
              <a:ea typeface="+mn-ea"/>
              <a:cs typeface="+mn-cs"/>
            </a:rPr>
            <a:t>Enter the Project site address.</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114300</xdr:rowOff>
        </xdr:from>
        <xdr:to>
          <xdr:col>10</xdr:col>
          <xdr:colOff>1752600</xdr:colOff>
          <xdr:row>10</xdr:row>
          <xdr:rowOff>114300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Invoice for work completed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8</xdr:row>
          <xdr:rowOff>123825</xdr:rowOff>
        </xdr:from>
        <xdr:to>
          <xdr:col>10</xdr:col>
          <xdr:colOff>1781175</xdr:colOff>
          <xdr:row>9</xdr:row>
          <xdr:rowOff>114300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FFFFFF" mc:Ignorable="a14" a14:legacySpreadsheetColorIndex="9"/>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Estimate for work    </a:t>
              </a:r>
            </a:p>
          </xdr:txBody>
        </xdr:sp>
        <xdr:clientData fLocksWithSheet="0"/>
      </xdr:twoCellAnchor>
    </mc:Choice>
    <mc:Fallback/>
  </mc:AlternateContent>
  <xdr:twoCellAnchor>
    <xdr:from>
      <xdr:col>0</xdr:col>
      <xdr:colOff>187325</xdr:colOff>
      <xdr:row>21</xdr:row>
      <xdr:rowOff>63499</xdr:rowOff>
    </xdr:from>
    <xdr:to>
      <xdr:col>0</xdr:col>
      <xdr:colOff>311150</xdr:colOff>
      <xdr:row>21</xdr:row>
      <xdr:rowOff>349249</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87325" y="7416799"/>
          <a:ext cx="123825" cy="2857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400" b="1"/>
            <a:t>9</a:t>
          </a:r>
        </a:p>
      </xdr:txBody>
    </xdr:sp>
    <xdr:clientData/>
  </xdr:twoCellAnchor>
  <xdr:twoCellAnchor>
    <xdr:from>
      <xdr:col>0</xdr:col>
      <xdr:colOff>133350</xdr:colOff>
      <xdr:row>22</xdr:row>
      <xdr:rowOff>69849</xdr:rowOff>
    </xdr:from>
    <xdr:to>
      <xdr:col>0</xdr:col>
      <xdr:colOff>416719</xdr:colOff>
      <xdr:row>22</xdr:row>
      <xdr:rowOff>321469</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33350" y="9201943"/>
          <a:ext cx="283369" cy="25162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lIns="0" rIns="0" rtlCol="0" anchor="ctr"/>
        <a:lstStyle/>
        <a:p>
          <a:pPr algn="ctr"/>
          <a:r>
            <a:rPr lang="en-US" sz="1400" b="1"/>
            <a:t>10</a:t>
          </a:r>
        </a:p>
      </xdr:txBody>
    </xdr:sp>
    <xdr:clientData/>
  </xdr:twoCellAnchor>
  <xdr:oneCellAnchor>
    <xdr:from>
      <xdr:col>19</xdr:col>
      <xdr:colOff>281608</xdr:colOff>
      <xdr:row>7</xdr:row>
      <xdr:rowOff>41413</xdr:rowOff>
    </xdr:from>
    <xdr:ext cx="184731" cy="264560"/>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1070258" y="130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515126</xdr:colOff>
      <xdr:row>7</xdr:row>
      <xdr:rowOff>68035</xdr:rowOff>
    </xdr:from>
    <xdr:to>
      <xdr:col>25</xdr:col>
      <xdr:colOff>485968</xdr:colOff>
      <xdr:row>15</xdr:row>
      <xdr:rowOff>38878</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00000000-0008-0000-0100-00000D000000}"/>
            </a:ext>
          </a:extLst>
        </xdr:cNvPr>
        <xdr:cNvSpPr txBox="1"/>
      </xdr:nvSpPr>
      <xdr:spPr>
        <a:xfrm>
          <a:off x="10098442" y="1535663"/>
          <a:ext cx="5044363" cy="3878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100"/>
        </a:p>
        <a:p>
          <a:pPr algn="ctr"/>
          <a:r>
            <a:rPr lang="en-US" sz="2400" b="1" u="sng">
              <a:solidFill>
                <a:srgbClr val="FF0000"/>
              </a:solidFill>
            </a:rPr>
            <a:t>ALERT: New GoGreen Home Portal</a:t>
          </a:r>
        </a:p>
        <a:p>
          <a:pPr algn="ctr"/>
          <a:endParaRPr lang="en-US" sz="2000"/>
        </a:p>
        <a:p>
          <a:pPr algn="ctr"/>
          <a:r>
            <a:rPr lang="en-US" sz="2000"/>
            <a:t>As of July 29, we are no longer using </a:t>
          </a:r>
        </a:p>
        <a:p>
          <a:pPr algn="ctr"/>
          <a:r>
            <a:rPr lang="en-US" sz="2000"/>
            <a:t>the Itemized Invoice (this spreadsheet). </a:t>
          </a:r>
        </a:p>
        <a:p>
          <a:pPr algn="ctr"/>
          <a:br>
            <a:rPr lang="en-US" sz="2000"/>
          </a:br>
          <a:r>
            <a:rPr lang="en-US" sz="2000" b="1"/>
            <a:t>Click this box to start using </a:t>
          </a:r>
        </a:p>
        <a:p>
          <a:pPr algn="ctr"/>
          <a:r>
            <a:rPr lang="en-US" sz="2000" b="1"/>
            <a:t>the Portal today!</a:t>
          </a:r>
        </a:p>
        <a:p>
          <a:pPr algn="ctr"/>
          <a:endParaRPr lang="en-US" sz="2000"/>
        </a:p>
        <a:p>
          <a:pPr algn="ctr"/>
          <a:r>
            <a:rPr lang="en-US" sz="1400" i="1"/>
            <a:t>If working with Travis Credit</a:t>
          </a:r>
          <a:r>
            <a:rPr lang="en-US" sz="1400" i="1" baseline="0"/>
            <a:t> Union, please reach </a:t>
          </a:r>
        </a:p>
        <a:p>
          <a:pPr algn="ctr"/>
          <a:r>
            <a:rPr lang="en-US" sz="1400" i="1" baseline="0"/>
            <a:t>out to them for their project process.</a:t>
          </a:r>
          <a:endParaRPr lang="en-US" sz="1400" i="1"/>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228597</xdr:colOff>
      <xdr:row>7</xdr:row>
      <xdr:rowOff>95247</xdr:rowOff>
    </xdr:from>
    <xdr:to>
      <xdr:col>7</xdr:col>
      <xdr:colOff>373063</xdr:colOff>
      <xdr:row>13</xdr:row>
      <xdr:rowOff>38099</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498472" y="1293810"/>
          <a:ext cx="5208591" cy="126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0" bIns="0" rtlCol="0" anchor="t"/>
        <a:lstStyle/>
        <a:p>
          <a:r>
            <a:rPr lang="en-US" sz="1100">
              <a:solidFill>
                <a:schemeClr val="dk1"/>
              </a:solidFill>
              <a:effectLst/>
              <a:latin typeface="+mn-lt"/>
              <a:ea typeface="+mn-ea"/>
              <a:cs typeface="+mn-cs"/>
            </a:rPr>
            <a:t>Jacki Nowak</a:t>
          </a:r>
        </a:p>
        <a:p>
          <a:r>
            <a:rPr lang="en-US" sz="1100">
              <a:solidFill>
                <a:schemeClr val="dk1"/>
              </a:solidFill>
              <a:effectLst/>
              <a:latin typeface="+mn-lt"/>
              <a:ea typeface="+mn-ea"/>
              <a:cs typeface="+mn-cs"/>
            </a:rPr>
            <a:t>Zions Bank Corporate Trust Department</a:t>
          </a:r>
        </a:p>
        <a:p>
          <a:r>
            <a:rPr lang="en-US" sz="1100">
              <a:solidFill>
                <a:schemeClr val="dk1"/>
              </a:solidFill>
              <a:effectLst/>
              <a:latin typeface="+mn-lt"/>
              <a:ea typeface="+mn-ea"/>
              <a:cs typeface="+mn-cs"/>
            </a:rPr>
            <a:t>550 South Hope Street, Suite 2875</a:t>
          </a:r>
        </a:p>
        <a:p>
          <a:r>
            <a:rPr lang="en-US" sz="1100">
              <a:solidFill>
                <a:schemeClr val="dk1"/>
              </a:solidFill>
              <a:effectLst/>
              <a:latin typeface="+mn-lt"/>
              <a:ea typeface="+mn-ea"/>
              <a:cs typeface="+mn-cs"/>
            </a:rPr>
            <a:t>Los Angeles, CA 90071</a:t>
          </a:r>
        </a:p>
        <a:p>
          <a:r>
            <a:rPr lang="en-US" sz="1100" b="0">
              <a:solidFill>
                <a:schemeClr val="dk1"/>
              </a:solidFill>
              <a:effectLst/>
              <a:latin typeface="+mn-lt"/>
              <a:ea typeface="+mn-ea"/>
              <a:cs typeface="+mn-cs"/>
            </a:rPr>
            <a:t>Via email:  </a:t>
          </a:r>
          <a:r>
            <a:rPr lang="en-US" sz="1100" b="0" u="none">
              <a:solidFill>
                <a:sysClr val="windowText" lastClr="000000"/>
              </a:solidFill>
              <a:effectLst/>
              <a:latin typeface="+mn-lt"/>
              <a:ea typeface="+mn-ea"/>
              <a:cs typeface="+mn-cs"/>
            </a:rPr>
            <a:t>Jacqueline.Nowak@zionsbancorp.com</a:t>
          </a:r>
        </a:p>
        <a:p>
          <a:r>
            <a:rPr lang="en-US" sz="1100" b="0" u="none">
              <a:solidFill>
                <a:schemeClr val="dk1"/>
              </a:solidFill>
              <a:effectLst/>
              <a:latin typeface="+mn-lt"/>
              <a:ea typeface="+mn-ea"/>
              <a:cs typeface="+mn-cs"/>
            </a:rPr>
            <a:t>cc</a:t>
          </a:r>
          <a:r>
            <a:rPr lang="en-US" sz="1100" b="0" u="none">
              <a:solidFill>
                <a:sysClr val="windowText" lastClr="000000"/>
              </a:solidFill>
              <a:effectLst/>
              <a:latin typeface="+mn-lt"/>
              <a:ea typeface="+mn-ea"/>
              <a:cs typeface="+mn-cs"/>
            </a:rPr>
            <a:t>:  </a:t>
          </a:r>
          <a:r>
            <a:rPr lang="en-US" sz="1100" b="0">
              <a:solidFill>
                <a:schemeClr val="dk1"/>
              </a:solidFill>
              <a:effectLst/>
              <a:latin typeface="+mn-lt"/>
              <a:ea typeface="+mn-ea"/>
              <a:cs typeface="+mn-cs"/>
            </a:rPr>
            <a:t>Dolly.Skotnicki@zionsbancorp.com; LovelyCeleste.Capiral@zionsbancorp.com;</a:t>
          </a:r>
        </a:p>
        <a:p>
          <a:r>
            <a:rPr lang="en-US" sz="1100" b="0" u="none">
              <a:solidFill>
                <a:sysClr val="windowText" lastClr="000000"/>
              </a:solidFill>
              <a:effectLst/>
              <a:latin typeface="+mn-lt"/>
              <a:ea typeface="+mn-ea"/>
              <a:cs typeface="+mn-cs"/>
            </a:rPr>
            <a:t>       C</a:t>
          </a:r>
          <a:r>
            <a:rPr lang="en-US" sz="1100" u="none">
              <a:solidFill>
                <a:sysClr val="windowText" lastClr="000000"/>
              </a:solidFill>
              <a:effectLst/>
              <a:latin typeface="+mn-lt"/>
              <a:ea typeface="+mn-ea"/>
              <a:cs typeface="+mn-cs"/>
            </a:rPr>
            <a:t>HEEFLLR@treasurer.ca.gov;</a:t>
          </a:r>
          <a:r>
            <a:rPr lang="en-US" sz="1100" u="none" baseline="0">
              <a:solidFill>
                <a:sysClr val="windowText" lastClr="000000"/>
              </a:solidFill>
              <a:effectLst/>
              <a:latin typeface="+mn-lt"/>
              <a:ea typeface="+mn-ea"/>
              <a:cs typeface="+mn-cs"/>
            </a:rPr>
            <a:t> verifications@concordservicing.com; </a:t>
          </a:r>
          <a:endParaRPr lang="en-US" sz="1100" u="none">
            <a:solidFill>
              <a:sysClr val="windowText" lastClr="000000"/>
            </a:solidFill>
            <a:effectLst/>
            <a:latin typeface="+mn-lt"/>
            <a:ea typeface="+mn-ea"/>
            <a:cs typeface="+mn-cs"/>
          </a:endParaRPr>
        </a:p>
      </xdr:txBody>
    </xdr:sp>
    <xdr:clientData/>
  </xdr:twoCellAnchor>
  <xdr:twoCellAnchor>
    <xdr:from>
      <xdr:col>1</xdr:col>
      <xdr:colOff>19050</xdr:colOff>
      <xdr:row>7</xdr:row>
      <xdr:rowOff>85724</xdr:rowOff>
    </xdr:from>
    <xdr:to>
      <xdr:col>1</xdr:col>
      <xdr:colOff>257175</xdr:colOff>
      <xdr:row>8</xdr:row>
      <xdr:rowOff>133349</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9050" y="1228724"/>
          <a:ext cx="2381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100" b="1"/>
            <a:t>To:</a:t>
          </a:r>
        </a:p>
      </xdr:txBody>
    </xdr:sp>
    <xdr:clientData/>
  </xdr:twoCellAnchor>
  <xdr:twoCellAnchor editAs="oneCell">
    <xdr:from>
      <xdr:col>0</xdr:col>
      <xdr:colOff>149225</xdr:colOff>
      <xdr:row>44</xdr:row>
      <xdr:rowOff>131331</xdr:rowOff>
    </xdr:from>
    <xdr:to>
      <xdr:col>7</xdr:col>
      <xdr:colOff>526017</xdr:colOff>
      <xdr:row>54</xdr:row>
      <xdr:rowOff>85725</xdr:rowOff>
    </xdr:to>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49225" y="7306831"/>
          <a:ext cx="6624637" cy="176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0"/>
            <a:t>     Recommended</a:t>
          </a:r>
          <a:r>
            <a:rPr lang="en-US" sz="1100" b="0" baseline="0"/>
            <a:t> by:          ________________________          __________</a:t>
          </a:r>
        </a:p>
        <a:p>
          <a:pPr marL="0" marR="0" indent="0" defTabSz="914400" eaLnBrk="1" fontAlgn="auto" latinLnBrk="0" hangingPunct="1">
            <a:lnSpc>
              <a:spcPct val="100000"/>
            </a:lnSpc>
            <a:spcBef>
              <a:spcPts val="0"/>
            </a:spcBef>
            <a:spcAft>
              <a:spcPts val="0"/>
            </a:spcAft>
            <a:buClrTx/>
            <a:buSzTx/>
            <a:buFontTx/>
            <a:buNone/>
            <a:tabLst/>
            <a:defRPr/>
          </a:pPr>
          <a:r>
            <a:rPr lang="en-US" sz="1100" b="0" i="1">
              <a:solidFill>
                <a:schemeClr val="dk1"/>
              </a:solidFill>
              <a:effectLst/>
              <a:latin typeface="+mn-lt"/>
              <a:ea typeface="+mn-ea"/>
              <a:cs typeface="+mn-cs"/>
            </a:rPr>
            <a:t>	   	   Master Servicer	  Date</a:t>
          </a:r>
          <a:r>
            <a:rPr lang="en-US" sz="1100" b="0" i="0" baseline="0">
              <a:solidFill>
                <a:schemeClr val="dk1"/>
              </a:solidFill>
              <a:effectLst/>
              <a:latin typeface="+mn-lt"/>
              <a:ea typeface="+mn-ea"/>
              <a:cs typeface="+mn-cs"/>
            </a:rPr>
            <a:t>	</a:t>
          </a:r>
          <a:endParaRPr lang="en-US" b="0">
            <a:effectLst/>
          </a:endParaRPr>
        </a:p>
        <a:p>
          <a:endParaRPr lang="en-US" sz="600" b="0"/>
        </a:p>
        <a:p>
          <a:r>
            <a:rPr lang="en-US" sz="1100" b="0"/>
            <a:t>     Approved by:</a:t>
          </a:r>
          <a:r>
            <a:rPr lang="en-US" sz="1100" b="0" baseline="0"/>
            <a:t>                    </a:t>
          </a:r>
          <a:r>
            <a:rPr lang="en-US" sz="1100" b="0"/>
            <a:t>________________________</a:t>
          </a:r>
          <a:r>
            <a:rPr lang="en-US" sz="1100" b="0" baseline="0"/>
            <a:t>          </a:t>
          </a:r>
          <a:r>
            <a:rPr lang="en-US" sz="1100" b="0"/>
            <a:t>__________</a:t>
          </a:r>
          <a:endParaRPr lang="en-US" sz="1100" b="0" i="1"/>
        </a:p>
        <a:p>
          <a:pPr>
            <a:spcAft>
              <a:spcPts val="600"/>
            </a:spcAft>
          </a:pPr>
          <a:r>
            <a:rPr lang="en-US" sz="1100" b="0" i="1" baseline="0"/>
            <a:t>                         		       CAEATFA</a:t>
          </a:r>
          <a:r>
            <a:rPr lang="en-US" sz="1100" b="0" i="0" baseline="0"/>
            <a:t>	                               </a:t>
          </a:r>
          <a:r>
            <a:rPr lang="en-US" sz="1100" b="0" i="1" baseline="0"/>
            <a:t>Date</a:t>
          </a:r>
          <a:endParaRPr lang="en-US"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To confirm receipt and funding of the Loss Reserve Contribution, please complete the Funding Date below; sign, date, and return a copy of this memo within 2 business days via email to </a:t>
          </a:r>
          <a:r>
            <a:rPr lang="en-US" sz="1000" u="sng">
              <a:solidFill>
                <a:schemeClr val="dk1"/>
              </a:solidFill>
              <a:effectLst/>
              <a:latin typeface="+mn-lt"/>
              <a:ea typeface="+mn-ea"/>
              <a:cs typeface="+mn-cs"/>
              <a:hlinkClick xmlns:r="http://schemas.openxmlformats.org/officeDocument/2006/relationships" r:id=""/>
            </a:rPr>
            <a:t>CHEEFLLR@treasurer.ca.gov</a:t>
          </a:r>
          <a:r>
            <a:rPr lang="en-US" sz="10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0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     Received by:	</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________________________  </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__________	</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____________</a:t>
          </a:r>
        </a:p>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		        </a:t>
          </a:r>
          <a:r>
            <a:rPr lang="en-US" sz="1100" b="0" i="1">
              <a:solidFill>
                <a:schemeClr val="dk1"/>
              </a:solidFill>
              <a:effectLst/>
              <a:latin typeface="+mn-lt"/>
              <a:ea typeface="+mn-ea"/>
              <a:cs typeface="+mn-cs"/>
            </a:rPr>
            <a:t>Trustee		   Date	         Funding Date</a:t>
          </a:r>
        </a:p>
      </xdr:txBody>
    </xdr:sp>
    <xdr:clientData/>
  </xdr:twoCellAnchor>
  <xdr:twoCellAnchor editAs="oneCell">
    <xdr:from>
      <xdr:col>6</xdr:col>
      <xdr:colOff>795342</xdr:colOff>
      <xdr:row>52</xdr:row>
      <xdr:rowOff>4892</xdr:rowOff>
    </xdr:from>
    <xdr:to>
      <xdr:col>9</xdr:col>
      <xdr:colOff>1002396</xdr:colOff>
      <xdr:row>56</xdr:row>
      <xdr:rowOff>63626</xdr:rowOff>
    </xdr:to>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6224592" y="9066342"/>
          <a:ext cx="1892979" cy="70960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tIns="0" rIns="0" bIns="0" rtlCol="0" anchor="t"/>
        <a:lstStyle/>
        <a:p>
          <a:pPr>
            <a:spcAft>
              <a:spcPts val="0"/>
            </a:spcAft>
          </a:pPr>
          <a:r>
            <a:rPr lang="en-US" sz="800" i="1" baseline="0"/>
            <a:t>                                    </a:t>
          </a:r>
          <a:r>
            <a:rPr lang="en-US" sz="800" i="1"/>
            <a:t>Date              Initials </a:t>
          </a:r>
        </a:p>
        <a:p>
          <a:r>
            <a:rPr lang="en-US" sz="1100" i="0"/>
            <a:t>Analyst/OT </a:t>
          </a:r>
          <a:r>
            <a:rPr lang="en-US" sz="1100" i="0" baseline="0"/>
            <a:t>  </a:t>
          </a:r>
          <a:r>
            <a:rPr lang="en-US" sz="1100" i="0"/>
            <a:t>______    ______</a:t>
          </a:r>
        </a:p>
        <a:p>
          <a:r>
            <a:rPr lang="en-US" sz="1100" i="0" baseline="0"/>
            <a:t>Manager       </a:t>
          </a:r>
          <a:r>
            <a:rPr lang="en-US" sz="1100" i="0">
              <a:solidFill>
                <a:schemeClr val="dk1"/>
              </a:solidFill>
              <a:effectLst/>
              <a:latin typeface="+mn-lt"/>
              <a:ea typeface="+mn-ea"/>
              <a:cs typeface="+mn-cs"/>
            </a:rPr>
            <a:t>______    ______</a:t>
          </a:r>
          <a:endParaRPr lang="en-US" sz="1100" i="0"/>
        </a:p>
        <a:p>
          <a:r>
            <a:rPr lang="en-US" sz="1100" i="0"/>
            <a:t>Office</a:t>
          </a:r>
          <a:r>
            <a:rPr lang="en-US" sz="1100" i="0" baseline="0"/>
            <a:t> Tech</a:t>
          </a:r>
          <a:r>
            <a:rPr lang="en-US" sz="1100" i="0"/>
            <a:t>   </a:t>
          </a:r>
          <a:r>
            <a:rPr lang="en-US" sz="1100" i="0">
              <a:solidFill>
                <a:schemeClr val="dk1"/>
              </a:solidFill>
              <a:effectLst/>
              <a:latin typeface="+mn-lt"/>
              <a:ea typeface="+mn-ea"/>
              <a:cs typeface="+mn-cs"/>
            </a:rPr>
            <a:t>______    ______</a:t>
          </a:r>
          <a:endParaRPr lang="en-US" sz="1100" i="0"/>
        </a:p>
      </xdr:txBody>
    </xdr:sp>
    <xdr:clientData/>
  </xdr:twoCellAnchor>
  <xdr:twoCellAnchor>
    <xdr:from>
      <xdr:col>6</xdr:col>
      <xdr:colOff>685800</xdr:colOff>
      <xdr:row>45</xdr:row>
      <xdr:rowOff>110518</xdr:rowOff>
    </xdr:from>
    <xdr:to>
      <xdr:col>9</xdr:col>
      <xdr:colOff>1050925</xdr:colOff>
      <xdr:row>47</xdr:row>
      <xdr:rowOff>93666</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5233988" y="7032018"/>
          <a:ext cx="1778000" cy="36414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bIns="0" rtlCol="0" anchor="t"/>
        <a:lstStyle/>
        <a:p>
          <a:r>
            <a:rPr lang="en-US" sz="1100" i="0"/>
            <a:t>Concord Review</a:t>
          </a:r>
        </a:p>
        <a:p>
          <a:r>
            <a:rPr lang="en-US" sz="1100" i="0"/>
            <a:t>Concurrent Review</a:t>
          </a:r>
        </a:p>
      </xdr:txBody>
    </xdr:sp>
    <xdr:clientData/>
  </xdr:twoCellAnchor>
  <mc:AlternateContent xmlns:mc="http://schemas.openxmlformats.org/markup-compatibility/2006">
    <mc:Choice xmlns:a14="http://schemas.microsoft.com/office/drawing/2010/main" Requires="a14">
      <xdr:twoCellAnchor editAs="oneCell">
        <xdr:from>
          <xdr:col>9</xdr:col>
          <xdr:colOff>752475</xdr:colOff>
          <xdr:row>45</xdr:row>
          <xdr:rowOff>104775</xdr:rowOff>
        </xdr:from>
        <xdr:to>
          <xdr:col>10</xdr:col>
          <xdr:colOff>28575</xdr:colOff>
          <xdr:row>46</xdr:row>
          <xdr:rowOff>123825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46</xdr:row>
          <xdr:rowOff>104775</xdr:rowOff>
        </xdr:from>
        <xdr:to>
          <xdr:col>9</xdr:col>
          <xdr:colOff>952500</xdr:colOff>
          <xdr:row>47</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50963</xdr:colOff>
      <xdr:row>65</xdr:row>
      <xdr:rowOff>11114</xdr:rowOff>
    </xdr:from>
    <xdr:to>
      <xdr:col>4</xdr:col>
      <xdr:colOff>428153</xdr:colOff>
      <xdr:row>65</xdr:row>
      <xdr:rowOff>143887</xdr:rowOff>
    </xdr:to>
    <xdr:sp macro="" textlink="Cost_Ratio_Electric">
      <xdr:nvSpPr>
        <xdr:cNvPr id="18" name="TextBox 17">
          <a:extLst>
            <a:ext uri="{FF2B5EF4-FFF2-40B4-BE49-F238E27FC236}">
              <a16:creationId xmlns:a16="http://schemas.microsoft.com/office/drawing/2014/main" id="{00000000-0008-0000-0300-000012000000}"/>
            </a:ext>
          </a:extLst>
        </xdr:cNvPr>
        <xdr:cNvSpPr txBox="1"/>
      </xdr:nvSpPr>
      <xdr:spPr>
        <a:xfrm>
          <a:off x="3624281" y="11060114"/>
          <a:ext cx="377190"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EB265749-EF6A-45C4-ABA8-7A15061EC904}"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4</xdr:col>
      <xdr:colOff>477450</xdr:colOff>
      <xdr:row>65</xdr:row>
      <xdr:rowOff>5340</xdr:rowOff>
    </xdr:from>
    <xdr:to>
      <xdr:col>4</xdr:col>
      <xdr:colOff>846258</xdr:colOff>
      <xdr:row>65</xdr:row>
      <xdr:rowOff>138113</xdr:rowOff>
    </xdr:to>
    <xdr:sp macro="" textlink="Cost_Ratio_Gas">
      <xdr:nvSpPr>
        <xdr:cNvPr id="21" name="TextBox 20">
          <a:extLst>
            <a:ext uri="{FF2B5EF4-FFF2-40B4-BE49-F238E27FC236}">
              <a16:creationId xmlns:a16="http://schemas.microsoft.com/office/drawing/2014/main" id="{00000000-0008-0000-0300-000015000000}"/>
            </a:ext>
          </a:extLst>
        </xdr:cNvPr>
        <xdr:cNvSpPr txBox="1"/>
      </xdr:nvSpPr>
      <xdr:spPr>
        <a:xfrm>
          <a:off x="4050768" y="11054340"/>
          <a:ext cx="368808"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E07454E-8102-41EC-B2A6-018D3DEA6AA3}"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4</xdr:col>
      <xdr:colOff>1039420</xdr:colOff>
      <xdr:row>64</xdr:row>
      <xdr:rowOff>172750</xdr:rowOff>
    </xdr:from>
    <xdr:to>
      <xdr:col>4</xdr:col>
      <xdr:colOff>1411372</xdr:colOff>
      <xdr:row>65</xdr:row>
      <xdr:rowOff>132341</xdr:rowOff>
    </xdr:to>
    <xdr:sp macro="" textlink="Cost_Ratio_IOU">
      <xdr:nvSpPr>
        <xdr:cNvPr id="23" name="TextBox 22">
          <a:extLst>
            <a:ext uri="{FF2B5EF4-FFF2-40B4-BE49-F238E27FC236}">
              <a16:creationId xmlns:a16="http://schemas.microsoft.com/office/drawing/2014/main" id="{00000000-0008-0000-0300-000017000000}"/>
            </a:ext>
          </a:extLst>
        </xdr:cNvPr>
        <xdr:cNvSpPr txBox="1"/>
      </xdr:nvSpPr>
      <xdr:spPr>
        <a:xfrm>
          <a:off x="4612738" y="11048568"/>
          <a:ext cx="371952"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E5EDE74-B1AA-4FB4-AA70-05DC56E004C1}"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4</xdr:col>
      <xdr:colOff>1488889</xdr:colOff>
      <xdr:row>65</xdr:row>
      <xdr:rowOff>2167</xdr:rowOff>
    </xdr:from>
    <xdr:to>
      <xdr:col>4</xdr:col>
      <xdr:colOff>1866079</xdr:colOff>
      <xdr:row>65</xdr:row>
      <xdr:rowOff>134940</xdr:rowOff>
    </xdr:to>
    <xdr:sp macro="" textlink="Cost_Ratio_NonIOU_Electric">
      <xdr:nvSpPr>
        <xdr:cNvPr id="24" name="TextBox 23">
          <a:extLst>
            <a:ext uri="{FF2B5EF4-FFF2-40B4-BE49-F238E27FC236}">
              <a16:creationId xmlns:a16="http://schemas.microsoft.com/office/drawing/2014/main" id="{00000000-0008-0000-0300-000018000000}"/>
            </a:ext>
          </a:extLst>
        </xdr:cNvPr>
        <xdr:cNvSpPr txBox="1"/>
      </xdr:nvSpPr>
      <xdr:spPr>
        <a:xfrm>
          <a:off x="5062207" y="11051167"/>
          <a:ext cx="377190"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0EADBF8-9664-42F4-B170-A7B32CC35C55}"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6</xdr:col>
      <xdr:colOff>639715</xdr:colOff>
      <xdr:row>65</xdr:row>
      <xdr:rowOff>10537</xdr:rowOff>
    </xdr:from>
    <xdr:to>
      <xdr:col>7</xdr:col>
      <xdr:colOff>93268</xdr:colOff>
      <xdr:row>65</xdr:row>
      <xdr:rowOff>143310</xdr:rowOff>
    </xdr:to>
    <xdr:sp macro="" textlink="Cost_Ratio_POU_Electric">
      <xdr:nvSpPr>
        <xdr:cNvPr id="25" name="TextBox 24">
          <a:extLst>
            <a:ext uri="{FF2B5EF4-FFF2-40B4-BE49-F238E27FC236}">
              <a16:creationId xmlns:a16="http://schemas.microsoft.com/office/drawing/2014/main" id="{00000000-0008-0000-0300-000019000000}"/>
            </a:ext>
          </a:extLst>
        </xdr:cNvPr>
        <xdr:cNvSpPr txBox="1"/>
      </xdr:nvSpPr>
      <xdr:spPr>
        <a:xfrm>
          <a:off x="6198851" y="11059537"/>
          <a:ext cx="377190"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61B615DE-4D16-462D-B8FC-B3C1C27E366A}"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7</xdr:col>
      <xdr:colOff>92619</xdr:colOff>
      <xdr:row>64</xdr:row>
      <xdr:rowOff>172173</xdr:rowOff>
    </xdr:from>
    <xdr:to>
      <xdr:col>7</xdr:col>
      <xdr:colOff>679071</xdr:colOff>
      <xdr:row>65</xdr:row>
      <xdr:rowOff>131764</xdr:rowOff>
    </xdr:to>
    <xdr:sp macro="" textlink="Cost_Ratio_SmIOU_Electric">
      <xdr:nvSpPr>
        <xdr:cNvPr id="26" name="TextBox 25">
          <a:extLst>
            <a:ext uri="{FF2B5EF4-FFF2-40B4-BE49-F238E27FC236}">
              <a16:creationId xmlns:a16="http://schemas.microsoft.com/office/drawing/2014/main" id="{00000000-0008-0000-0300-00001A000000}"/>
            </a:ext>
          </a:extLst>
        </xdr:cNvPr>
        <xdr:cNvSpPr txBox="1"/>
      </xdr:nvSpPr>
      <xdr:spPr>
        <a:xfrm>
          <a:off x="6575392" y="11047991"/>
          <a:ext cx="586452"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E81D69CB-0786-44CF-A015-13416B2C48CF}"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6</xdr:col>
      <xdr:colOff>25649</xdr:colOff>
      <xdr:row>64</xdr:row>
      <xdr:rowOff>172170</xdr:rowOff>
    </xdr:from>
    <xdr:to>
      <xdr:col>6</xdr:col>
      <xdr:colOff>413417</xdr:colOff>
      <xdr:row>65</xdr:row>
      <xdr:rowOff>131761</xdr:rowOff>
    </xdr:to>
    <xdr:sp macro="" textlink="Cost_Ratio_NonIOU_Gas">
      <xdr:nvSpPr>
        <xdr:cNvPr id="32" name="TextBox 31">
          <a:extLst>
            <a:ext uri="{FF2B5EF4-FFF2-40B4-BE49-F238E27FC236}">
              <a16:creationId xmlns:a16="http://schemas.microsoft.com/office/drawing/2014/main" id="{00000000-0008-0000-0300-000020000000}"/>
            </a:ext>
          </a:extLst>
        </xdr:cNvPr>
        <xdr:cNvSpPr txBox="1"/>
      </xdr:nvSpPr>
      <xdr:spPr>
        <a:xfrm>
          <a:off x="5584785" y="11047988"/>
          <a:ext cx="387768"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D70F0DC-7B7B-4406-808A-0D65409E101F}"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9</xdr:col>
      <xdr:colOff>2513</xdr:colOff>
      <xdr:row>65</xdr:row>
      <xdr:rowOff>4762</xdr:rowOff>
    </xdr:from>
    <xdr:to>
      <xdr:col>9</xdr:col>
      <xdr:colOff>402794</xdr:colOff>
      <xdr:row>65</xdr:row>
      <xdr:rowOff>137535</xdr:rowOff>
    </xdr:to>
    <xdr:sp macro="" textlink="Cost_Ratio_POU_Gas">
      <xdr:nvSpPr>
        <xdr:cNvPr id="33" name="TextBox 32">
          <a:extLst>
            <a:ext uri="{FF2B5EF4-FFF2-40B4-BE49-F238E27FC236}">
              <a16:creationId xmlns:a16="http://schemas.microsoft.com/office/drawing/2014/main" id="{00000000-0008-0000-0300-000021000000}"/>
            </a:ext>
          </a:extLst>
        </xdr:cNvPr>
        <xdr:cNvSpPr txBox="1"/>
      </xdr:nvSpPr>
      <xdr:spPr>
        <a:xfrm>
          <a:off x="7206877" y="11053762"/>
          <a:ext cx="400281"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D63D6D98-AA77-43B3-B172-7CD0BEDE1A5C}"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9</xdr:col>
      <xdr:colOff>507011</xdr:colOff>
      <xdr:row>64</xdr:row>
      <xdr:rowOff>166398</xdr:rowOff>
    </xdr:from>
    <xdr:to>
      <xdr:col>9</xdr:col>
      <xdr:colOff>878963</xdr:colOff>
      <xdr:row>65</xdr:row>
      <xdr:rowOff>125989</xdr:rowOff>
    </xdr:to>
    <xdr:sp macro="" textlink="Cost_Ratio_SmIOU_Gas">
      <xdr:nvSpPr>
        <xdr:cNvPr id="34" name="TextBox 33">
          <a:extLst>
            <a:ext uri="{FF2B5EF4-FFF2-40B4-BE49-F238E27FC236}">
              <a16:creationId xmlns:a16="http://schemas.microsoft.com/office/drawing/2014/main" id="{00000000-0008-0000-0300-000022000000}"/>
            </a:ext>
          </a:extLst>
        </xdr:cNvPr>
        <xdr:cNvSpPr txBox="1"/>
      </xdr:nvSpPr>
      <xdr:spPr>
        <a:xfrm>
          <a:off x="7711375" y="11042216"/>
          <a:ext cx="371952" cy="132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9A13F819-ADB9-4A24-A750-9D3DAC5A298F}" type="TxLink">
            <a:rPr lang="en-US" sz="1050" b="0" i="0" u="none" strike="noStrike">
              <a:solidFill>
                <a:schemeClr val="tx1">
                  <a:lumMod val="50000"/>
                  <a:lumOff val="50000"/>
                </a:schemeClr>
              </a:solidFill>
              <a:latin typeface="Calibri"/>
              <a:cs typeface="Calibri"/>
            </a:rPr>
            <a:pPr algn="ctr"/>
            <a:t>0.000</a:t>
          </a:fld>
          <a:endParaRPr lang="en-US" sz="1050">
            <a:solidFill>
              <a:schemeClr val="tx1">
                <a:lumMod val="50000"/>
                <a:lumOff val="50000"/>
              </a:schemeClr>
            </a:solidFill>
          </a:endParaRPr>
        </a:p>
      </xdr:txBody>
    </xdr:sp>
    <xdr:clientData/>
  </xdr:twoCellAnchor>
  <xdr:twoCellAnchor>
    <xdr:from>
      <xdr:col>0</xdr:col>
      <xdr:colOff>270439</xdr:colOff>
      <xdr:row>64</xdr:row>
      <xdr:rowOff>158261</xdr:rowOff>
    </xdr:from>
    <xdr:to>
      <xdr:col>1</xdr:col>
      <xdr:colOff>502228</xdr:colOff>
      <xdr:row>66</xdr:row>
      <xdr:rowOff>28863</xdr:rowOff>
    </xdr:to>
    <xdr:sp macro="" textlink="Cost_Ratio_PPP">
      <xdr:nvSpPr>
        <xdr:cNvPr id="35" name="TextBox 34">
          <a:extLst>
            <a:ext uri="{FF2B5EF4-FFF2-40B4-BE49-F238E27FC236}">
              <a16:creationId xmlns:a16="http://schemas.microsoft.com/office/drawing/2014/main" id="{00000000-0008-0000-0300-000023000000}"/>
            </a:ext>
          </a:extLst>
        </xdr:cNvPr>
        <xdr:cNvSpPr txBox="1"/>
      </xdr:nvSpPr>
      <xdr:spPr>
        <a:xfrm>
          <a:off x="270439" y="11034079"/>
          <a:ext cx="508880" cy="21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313266F6-6EA0-48A7-89B6-FBF04D264EBE}" type="TxLink">
            <a:rPr lang="en-US" sz="1050" b="0" i="0" u="none" strike="noStrike">
              <a:solidFill>
                <a:schemeClr val="tx1">
                  <a:lumMod val="50000"/>
                  <a:lumOff val="50000"/>
                </a:schemeClr>
              </a:solidFill>
              <a:latin typeface="Calibri"/>
              <a:cs typeface="Calibri"/>
            </a:rPr>
            <a:pPr algn="ctr"/>
            <a:t>0.00000</a:t>
          </a:fld>
          <a:endParaRPr lang="en-US" sz="1050">
            <a:solidFill>
              <a:schemeClr val="tx1">
                <a:lumMod val="50000"/>
                <a:lumOff val="50000"/>
              </a:schemeClr>
            </a:solidFill>
          </a:endParaRPr>
        </a:p>
      </xdr:txBody>
    </xdr:sp>
    <xdr:clientData/>
  </xdr:twoCellAnchor>
  <xdr:twoCellAnchor>
    <xdr:from>
      <xdr:col>1</xdr:col>
      <xdr:colOff>516865</xdr:colOff>
      <xdr:row>65</xdr:row>
      <xdr:rowOff>17897</xdr:rowOff>
    </xdr:from>
    <xdr:to>
      <xdr:col>1</xdr:col>
      <xdr:colOff>1039091</xdr:colOff>
      <xdr:row>65</xdr:row>
      <xdr:rowOff>161636</xdr:rowOff>
    </xdr:to>
    <xdr:sp macro="" textlink="Cost_Ratio_TECH">
      <xdr:nvSpPr>
        <xdr:cNvPr id="36" name="TextBox 35">
          <a:extLst>
            <a:ext uri="{FF2B5EF4-FFF2-40B4-BE49-F238E27FC236}">
              <a16:creationId xmlns:a16="http://schemas.microsoft.com/office/drawing/2014/main" id="{00000000-0008-0000-0300-000024000000}"/>
            </a:ext>
          </a:extLst>
        </xdr:cNvPr>
        <xdr:cNvSpPr txBox="1"/>
      </xdr:nvSpPr>
      <xdr:spPr>
        <a:xfrm>
          <a:off x="793956" y="11066897"/>
          <a:ext cx="522226" cy="143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60C43E6B-272C-4D79-9436-9F128CF8E1D4}" type="TxLink">
            <a:rPr lang="en-US" sz="1050" b="0" i="0" u="none" strike="noStrike">
              <a:solidFill>
                <a:schemeClr val="tx1">
                  <a:lumMod val="50000"/>
                  <a:lumOff val="50000"/>
                </a:schemeClr>
              </a:solidFill>
              <a:latin typeface="Calibri"/>
              <a:cs typeface="Calibri"/>
            </a:rPr>
            <a:pPr algn="ctr"/>
            <a:t>0.00000</a:t>
          </a:fld>
          <a:endParaRPr lang="en-US" sz="1050">
            <a:solidFill>
              <a:schemeClr val="tx1">
                <a:lumMod val="50000"/>
                <a:lumOff val="50000"/>
              </a:schemeClr>
            </a:solidFill>
          </a:endParaRPr>
        </a:p>
      </xdr:txBody>
    </xdr:sp>
    <xdr:clientData/>
  </xdr:twoCellAnchor>
  <xdr:twoCellAnchor>
    <xdr:from>
      <xdr:col>4</xdr:col>
      <xdr:colOff>23514</xdr:colOff>
      <xdr:row>63</xdr:row>
      <xdr:rowOff>40407</xdr:rowOff>
    </xdr:from>
    <xdr:to>
      <xdr:col>4</xdr:col>
      <xdr:colOff>450274</xdr:colOff>
      <xdr:row>65</xdr:row>
      <xdr:rowOff>3312</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3596832" y="10743043"/>
          <a:ext cx="426760" cy="309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Elec</a:t>
          </a:r>
          <a:endParaRPr lang="en-US" sz="1000" b="0" i="0" u="sng" strike="noStrike">
            <a:solidFill>
              <a:schemeClr val="tx1">
                <a:lumMod val="50000"/>
                <a:lumOff val="50000"/>
              </a:schemeClr>
            </a:solidFill>
            <a:latin typeface="Calibri"/>
            <a:cs typeface="Calibri"/>
          </a:endParaRPr>
        </a:p>
      </xdr:txBody>
    </xdr:sp>
    <xdr:clientData/>
  </xdr:twoCellAnchor>
  <xdr:twoCellAnchor>
    <xdr:from>
      <xdr:col>4</xdr:col>
      <xdr:colOff>447539</xdr:colOff>
      <xdr:row>63</xdr:row>
      <xdr:rowOff>72586</xdr:rowOff>
    </xdr:from>
    <xdr:to>
      <xdr:col>4</xdr:col>
      <xdr:colOff>871682</xdr:colOff>
      <xdr:row>64</xdr:row>
      <xdr:rowOff>138546</xdr:rowOff>
    </xdr:to>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4020857" y="10775222"/>
          <a:ext cx="424143" cy="23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Gas</a:t>
          </a:r>
          <a:endParaRPr lang="en-US" sz="1100" b="0" i="0" u="sng" strike="noStrike">
            <a:solidFill>
              <a:schemeClr val="tx1">
                <a:lumMod val="50000"/>
                <a:lumOff val="50000"/>
              </a:schemeClr>
            </a:solidFill>
            <a:latin typeface="Calibri"/>
            <a:cs typeface="Calibri"/>
          </a:endParaRPr>
        </a:p>
      </xdr:txBody>
    </xdr:sp>
    <xdr:clientData/>
  </xdr:twoCellAnchor>
  <xdr:twoCellAnchor>
    <xdr:from>
      <xdr:col>4</xdr:col>
      <xdr:colOff>988637</xdr:colOff>
      <xdr:row>63</xdr:row>
      <xdr:rowOff>37951</xdr:rowOff>
    </xdr:from>
    <xdr:to>
      <xdr:col>4</xdr:col>
      <xdr:colOff>1477816</xdr:colOff>
      <xdr:row>64</xdr:row>
      <xdr:rowOff>161637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561955" y="10740587"/>
          <a:ext cx="489179" cy="29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IOU</a:t>
          </a:r>
          <a:endParaRPr lang="en-US" sz="1100" b="0" i="0" u="sng" strike="noStrike">
            <a:solidFill>
              <a:schemeClr val="tx1">
                <a:lumMod val="50000"/>
                <a:lumOff val="50000"/>
              </a:schemeClr>
            </a:solidFill>
            <a:latin typeface="Calibri"/>
            <a:cs typeface="Calibri"/>
          </a:endParaRPr>
        </a:p>
      </xdr:txBody>
    </xdr:sp>
    <xdr:clientData/>
  </xdr:twoCellAnchor>
  <xdr:twoCellAnchor>
    <xdr:from>
      <xdr:col>4</xdr:col>
      <xdr:colOff>1448954</xdr:colOff>
      <xdr:row>63</xdr:row>
      <xdr:rowOff>5774</xdr:rowOff>
    </xdr:from>
    <xdr:to>
      <xdr:col>5</xdr:col>
      <xdr:colOff>23092</xdr:colOff>
      <xdr:row>65</xdr:row>
      <xdr:rowOff>23232</xdr:rowOff>
    </xdr:to>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5022272" y="10708410"/>
          <a:ext cx="490684" cy="363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Other E</a:t>
          </a:r>
        </a:p>
      </xdr:txBody>
    </xdr:sp>
    <xdr:clientData/>
  </xdr:twoCellAnchor>
  <xdr:twoCellAnchor>
    <xdr:from>
      <xdr:col>6</xdr:col>
      <xdr:colOff>624786</xdr:colOff>
      <xdr:row>63</xdr:row>
      <xdr:rowOff>63500</xdr:rowOff>
    </xdr:from>
    <xdr:to>
      <xdr:col>7</xdr:col>
      <xdr:colOff>126999</xdr:colOff>
      <xdr:row>64</xdr:row>
      <xdr:rowOff>152826</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6183922" y="10766136"/>
          <a:ext cx="425850" cy="262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POU E</a:t>
          </a:r>
        </a:p>
      </xdr:txBody>
    </xdr:sp>
    <xdr:clientData/>
  </xdr:twoCellAnchor>
  <xdr:twoCellAnchor>
    <xdr:from>
      <xdr:col>7</xdr:col>
      <xdr:colOff>99041</xdr:colOff>
      <xdr:row>63</xdr:row>
      <xdr:rowOff>23091</xdr:rowOff>
    </xdr:from>
    <xdr:to>
      <xdr:col>9</xdr:col>
      <xdr:colOff>11545</xdr:colOff>
      <xdr:row>65</xdr:row>
      <xdr:rowOff>20054</xdr:rowOff>
    </xdr:to>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6581814" y="10725727"/>
          <a:ext cx="634095" cy="34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SmIOU</a:t>
          </a:r>
          <a:r>
            <a:rPr lang="en-US" sz="1050" b="0" i="0" u="sng" strike="noStrike" baseline="0">
              <a:solidFill>
                <a:schemeClr val="tx1">
                  <a:lumMod val="50000"/>
                  <a:lumOff val="50000"/>
                </a:schemeClr>
              </a:solidFill>
              <a:latin typeface="Calibri"/>
              <a:cs typeface="Calibri"/>
            </a:rPr>
            <a:t> E</a:t>
          </a:r>
          <a:endParaRPr lang="en-US" sz="1050" b="0" i="0" u="sng" strike="noStrike">
            <a:solidFill>
              <a:schemeClr val="tx1">
                <a:lumMod val="50000"/>
                <a:lumOff val="50000"/>
              </a:schemeClr>
            </a:solidFill>
            <a:latin typeface="Calibri"/>
            <a:cs typeface="Calibri"/>
          </a:endParaRPr>
        </a:p>
      </xdr:txBody>
    </xdr:sp>
    <xdr:clientData/>
  </xdr:twoCellAnchor>
  <xdr:twoCellAnchor>
    <xdr:from>
      <xdr:col>5</xdr:col>
      <xdr:colOff>49418</xdr:colOff>
      <xdr:row>63</xdr:row>
      <xdr:rowOff>28864</xdr:rowOff>
    </xdr:from>
    <xdr:to>
      <xdr:col>6</xdr:col>
      <xdr:colOff>531091</xdr:colOff>
      <xdr:row>64</xdr:row>
      <xdr:rowOff>164371</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5539282" y="10731500"/>
          <a:ext cx="550945" cy="308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Other G</a:t>
          </a:r>
        </a:p>
      </xdr:txBody>
    </xdr:sp>
    <xdr:clientData/>
  </xdr:twoCellAnchor>
  <xdr:twoCellAnchor>
    <xdr:from>
      <xdr:col>7</xdr:col>
      <xdr:colOff>668767</xdr:colOff>
      <xdr:row>63</xdr:row>
      <xdr:rowOff>63501</xdr:rowOff>
    </xdr:from>
    <xdr:to>
      <xdr:col>9</xdr:col>
      <xdr:colOff>432954</xdr:colOff>
      <xdr:row>64</xdr:row>
      <xdr:rowOff>170145</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7151540" y="10766137"/>
          <a:ext cx="485778" cy="279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POU G</a:t>
          </a:r>
        </a:p>
      </xdr:txBody>
    </xdr:sp>
    <xdr:clientData/>
  </xdr:twoCellAnchor>
  <xdr:twoCellAnchor>
    <xdr:from>
      <xdr:col>9</xdr:col>
      <xdr:colOff>424450</xdr:colOff>
      <xdr:row>63</xdr:row>
      <xdr:rowOff>46181</xdr:rowOff>
    </xdr:from>
    <xdr:to>
      <xdr:col>9</xdr:col>
      <xdr:colOff>1015999</xdr:colOff>
      <xdr:row>65</xdr:row>
      <xdr:rowOff>20052</xdr:rowOff>
    </xdr:to>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7628814" y="10748817"/>
          <a:ext cx="591549" cy="320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00" b="0" i="0" u="sng" strike="noStrike">
              <a:solidFill>
                <a:schemeClr val="tx1">
                  <a:lumMod val="50000"/>
                  <a:lumOff val="50000"/>
                </a:schemeClr>
              </a:solidFill>
              <a:latin typeface="Calibri"/>
              <a:cs typeface="Calibri"/>
            </a:rPr>
            <a:t>SmIOU G</a:t>
          </a:r>
        </a:p>
      </xdr:txBody>
    </xdr:sp>
    <xdr:clientData/>
  </xdr:twoCellAnchor>
  <xdr:twoCellAnchor>
    <xdr:from>
      <xdr:col>1</xdr:col>
      <xdr:colOff>67495</xdr:colOff>
      <xdr:row>63</xdr:row>
      <xdr:rowOff>139871</xdr:rowOff>
    </xdr:from>
    <xdr:to>
      <xdr:col>1</xdr:col>
      <xdr:colOff>410395</xdr:colOff>
      <xdr:row>64</xdr:row>
      <xdr:rowOff>123997</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344586" y="10842507"/>
          <a:ext cx="342900" cy="157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PPP</a:t>
          </a:r>
        </a:p>
      </xdr:txBody>
    </xdr:sp>
    <xdr:clientData/>
  </xdr:twoCellAnchor>
  <xdr:twoCellAnchor>
    <xdr:from>
      <xdr:col>1</xdr:col>
      <xdr:colOff>565793</xdr:colOff>
      <xdr:row>63</xdr:row>
      <xdr:rowOff>42717</xdr:rowOff>
    </xdr:from>
    <xdr:to>
      <xdr:col>1</xdr:col>
      <xdr:colOff>935759</xdr:colOff>
      <xdr:row>65</xdr:row>
      <xdr:rowOff>27210</xdr:rowOff>
    </xdr:to>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842884" y="10745353"/>
          <a:ext cx="369966" cy="33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TECH</a:t>
          </a:r>
        </a:p>
      </xdr:txBody>
    </xdr:sp>
    <xdr:clientData/>
  </xdr:twoCellAnchor>
  <xdr:twoCellAnchor>
    <xdr:from>
      <xdr:col>1</xdr:col>
      <xdr:colOff>19050</xdr:colOff>
      <xdr:row>0</xdr:row>
      <xdr:rowOff>0</xdr:rowOff>
    </xdr:from>
    <xdr:to>
      <xdr:col>2</xdr:col>
      <xdr:colOff>492125</xdr:colOff>
      <xdr:row>4</xdr:row>
      <xdr:rowOff>179705</xdr:rowOff>
    </xdr:to>
    <xdr:sp macro="" textlink="">
      <xdr:nvSpPr>
        <xdr:cNvPr id="2" name="Text Box 2">
          <a:extLst>
            <a:ext uri="{FF2B5EF4-FFF2-40B4-BE49-F238E27FC236}">
              <a16:creationId xmlns:a16="http://schemas.microsoft.com/office/drawing/2014/main" id="{00000000-0008-0000-0300-000002000000}"/>
            </a:ext>
          </a:extLst>
        </xdr:cNvPr>
        <xdr:cNvSpPr txBox="1"/>
      </xdr:nvSpPr>
      <xdr:spPr>
        <a:xfrm>
          <a:off x="285750" y="0"/>
          <a:ext cx="1663700" cy="94170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600"/>
            </a:spcAft>
            <a:tabLst>
              <a:tab pos="91440" algn="l"/>
              <a:tab pos="114300" algn="l"/>
            </a:tabLst>
          </a:pPr>
          <a:r>
            <a:rPr lang="en-US" sz="850">
              <a:solidFill>
                <a:srgbClr val="000000"/>
              </a:solidFill>
              <a:effectLst/>
              <a:latin typeface="Arial" panose="020B0604020202020204" pitchFamily="34" charset="0"/>
              <a:ea typeface="Calibri" panose="020F0502020204030204" pitchFamily="34" charset="0"/>
            </a:rPr>
            <a:t>901 P Street</a:t>
          </a:r>
          <a:br>
            <a:rPr lang="en-US" sz="850">
              <a:solidFill>
                <a:srgbClr val="000000"/>
              </a:solidFill>
              <a:effectLst/>
              <a:latin typeface="Arial" panose="020B0604020202020204" pitchFamily="34" charset="0"/>
              <a:ea typeface="Calibri" panose="020F0502020204030204" pitchFamily="34" charset="0"/>
            </a:rPr>
          </a:br>
          <a:r>
            <a:rPr lang="en-US" sz="850">
              <a:solidFill>
                <a:srgbClr val="000000"/>
              </a:solidFill>
              <a:effectLst/>
              <a:latin typeface="Arial" panose="020B0604020202020204" pitchFamily="34" charset="0"/>
              <a:ea typeface="Calibri" panose="020F0502020204030204" pitchFamily="34" charset="0"/>
            </a:rPr>
            <a:t>Sacramento, CA 95814</a:t>
          </a:r>
          <a:br>
            <a:rPr lang="en-US" sz="850">
              <a:solidFill>
                <a:srgbClr val="000000"/>
              </a:solidFill>
              <a:effectLst/>
              <a:latin typeface="Arial" panose="020B0604020202020204" pitchFamily="34" charset="0"/>
              <a:ea typeface="Calibri" panose="020F0502020204030204" pitchFamily="34" charset="0"/>
            </a:rPr>
          </a:br>
          <a:r>
            <a:rPr lang="en-US" sz="850">
              <a:solidFill>
                <a:srgbClr val="000000"/>
              </a:solidFill>
              <a:effectLst/>
              <a:latin typeface="Arial" panose="020B0604020202020204" pitchFamily="34" charset="0"/>
              <a:ea typeface="Calibri" panose="020F0502020204030204" pitchFamily="34" charset="0"/>
            </a:rPr>
            <a:t>p	(916) 651-8157</a:t>
          </a:r>
          <a:br>
            <a:rPr lang="en-US" sz="850">
              <a:solidFill>
                <a:srgbClr val="000000"/>
              </a:solidFill>
              <a:effectLst/>
              <a:latin typeface="Arial" panose="020B0604020202020204" pitchFamily="34" charset="0"/>
              <a:ea typeface="Calibri" panose="020F0502020204030204" pitchFamily="34" charset="0"/>
            </a:rPr>
          </a:br>
          <a:r>
            <a:rPr lang="en-US" sz="850">
              <a:solidFill>
                <a:srgbClr val="000000"/>
              </a:solidFill>
              <a:effectLst/>
              <a:latin typeface="Arial" panose="020B0604020202020204" pitchFamily="34" charset="0"/>
              <a:ea typeface="Calibri" panose="020F0502020204030204" pitchFamily="34" charset="0"/>
            </a:rPr>
            <a:t>f	(916) 589-2855</a:t>
          </a:r>
          <a:br>
            <a:rPr lang="en-US" sz="850">
              <a:solidFill>
                <a:srgbClr val="000000"/>
              </a:solidFill>
              <a:effectLst/>
              <a:latin typeface="Arial" panose="020B0604020202020204" pitchFamily="34" charset="0"/>
              <a:ea typeface="Calibri" panose="020F0502020204030204" pitchFamily="34" charset="0"/>
            </a:rPr>
          </a:br>
          <a:r>
            <a:rPr lang="en-US" sz="850">
              <a:solidFill>
                <a:srgbClr val="000000"/>
              </a:solidFill>
              <a:effectLst/>
              <a:latin typeface="Arial" panose="020B0604020202020204" pitchFamily="34" charset="0"/>
              <a:ea typeface="Calibri" panose="020F0502020204030204" pitchFamily="34" charset="0"/>
            </a:rPr>
            <a:t>caeatfa@treasurer.ca.gov</a:t>
          </a:r>
          <a:br>
            <a:rPr lang="en-US" sz="850">
              <a:solidFill>
                <a:srgbClr val="000000"/>
              </a:solidFill>
              <a:effectLst/>
              <a:latin typeface="Arial" panose="020B0604020202020204" pitchFamily="34" charset="0"/>
              <a:ea typeface="Calibri" panose="020F0502020204030204" pitchFamily="34" charset="0"/>
            </a:rPr>
          </a:br>
          <a:r>
            <a:rPr lang="en-US" sz="850">
              <a:solidFill>
                <a:srgbClr val="000000"/>
              </a:solidFill>
              <a:effectLst/>
              <a:latin typeface="Arial" panose="020B0604020202020204" pitchFamily="34" charset="0"/>
              <a:ea typeface="Calibri" panose="020F0502020204030204" pitchFamily="34" charset="0"/>
            </a:rPr>
            <a:t>www.treasurer.ca.gov/caeatfa</a:t>
          </a:r>
        </a:p>
        <a:p>
          <a:pPr marL="0" marR="0" algn="r">
            <a:lnSpc>
              <a:spcPct val="115000"/>
            </a:lnSpc>
            <a:spcBef>
              <a:spcPts val="0"/>
            </a:spcBef>
            <a:spcAft>
              <a:spcPts val="0"/>
            </a:spcAft>
          </a:pPr>
          <a:r>
            <a:rPr lang="en-US" sz="650" cap="all">
              <a:solidFill>
                <a:srgbClr val="000000"/>
              </a:solidFill>
              <a:effectLst/>
              <a:latin typeface="Arial" panose="020B0604020202020204" pitchFamily="34" charset="0"/>
              <a:ea typeface="Times New Roman" panose="02020603050405020304" pitchFamily="18" charset="0"/>
            </a:rPr>
            <a:t> </a:t>
          </a:r>
        </a:p>
      </xdr:txBody>
    </xdr:sp>
    <xdr:clientData/>
  </xdr:twoCellAnchor>
  <xdr:twoCellAnchor>
    <xdr:from>
      <xdr:col>7</xdr:col>
      <xdr:colOff>123825</xdr:colOff>
      <xdr:row>0</xdr:row>
      <xdr:rowOff>9525</xdr:rowOff>
    </xdr:from>
    <xdr:to>
      <xdr:col>9</xdr:col>
      <xdr:colOff>915670</xdr:colOff>
      <xdr:row>12</xdr:row>
      <xdr:rowOff>275590</xdr:rowOff>
    </xdr:to>
    <xdr:sp macro="" textlink="">
      <xdr:nvSpPr>
        <xdr:cNvPr id="3" name="Text Box 3">
          <a:extLst>
            <a:ext uri="{FF2B5EF4-FFF2-40B4-BE49-F238E27FC236}">
              <a16:creationId xmlns:a16="http://schemas.microsoft.com/office/drawing/2014/main" id="{00000000-0008-0000-0300-000003000000}"/>
            </a:ext>
          </a:extLst>
        </xdr:cNvPr>
        <xdr:cNvSpPr txBox="1"/>
      </xdr:nvSpPr>
      <xdr:spPr>
        <a:xfrm>
          <a:off x="5438775" y="9525"/>
          <a:ext cx="1487170" cy="247586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r">
            <a:lnSpc>
              <a:spcPct val="115000"/>
            </a:lnSpc>
            <a:spcBef>
              <a:spcPts val="900"/>
            </a:spcBef>
            <a:spcAft>
              <a:spcPts val="600"/>
            </a:spcAft>
          </a:pPr>
          <a:r>
            <a:rPr lang="en-US" sz="650" b="1" cap="all">
              <a:solidFill>
                <a:srgbClr val="000000"/>
              </a:solidFill>
              <a:effectLst/>
              <a:latin typeface="Arial" panose="020B0604020202020204" pitchFamily="34" charset="0"/>
              <a:ea typeface="Times New Roman" panose="02020603050405020304" pitchFamily="18" charset="0"/>
            </a:rPr>
            <a:t>Members</a:t>
          </a:r>
        </a:p>
        <a:p>
          <a:pPr marL="0" marR="0" algn="r">
            <a:lnSpc>
              <a:spcPct val="115000"/>
            </a:lnSpc>
            <a:spcBef>
              <a:spcPts val="0"/>
            </a:spcBef>
            <a:spcAft>
              <a:spcPts val="0"/>
            </a:spcAft>
          </a:pPr>
          <a:r>
            <a:rPr lang="en-US" sz="650" cap="all">
              <a:solidFill>
                <a:srgbClr val="000000"/>
              </a:solidFill>
              <a:effectLst/>
              <a:latin typeface="Arial" panose="020B0604020202020204" pitchFamily="34" charset="0"/>
              <a:ea typeface="Times New Roman" panose="02020603050405020304" pitchFamily="18" charset="0"/>
            </a:rPr>
            <a:t>FIONA MA, CPA, </a:t>
          </a:r>
          <a:r>
            <a:rPr lang="en-US" sz="650" b="1" cap="all">
              <a:solidFill>
                <a:srgbClr val="000000"/>
              </a:solidFill>
              <a:effectLst/>
              <a:latin typeface="Arial" panose="020B0604020202020204" pitchFamily="34" charset="0"/>
              <a:ea typeface="Times New Roman" panose="02020603050405020304" pitchFamily="18" charset="0"/>
            </a:rPr>
            <a:t>Chair</a:t>
          </a:r>
          <a:endParaRPr lang="en-US" sz="650" cap="all">
            <a:solidFill>
              <a:srgbClr val="000000"/>
            </a:solidFill>
            <a:effectLst/>
            <a:latin typeface="Arial" panose="020B0604020202020204" pitchFamily="34" charset="0"/>
            <a:ea typeface="Times New Roman" panose="02020603050405020304" pitchFamily="18" charset="0"/>
          </a:endParaRPr>
        </a:p>
        <a:p>
          <a:pPr marL="0" marR="0" algn="r">
            <a:lnSpc>
              <a:spcPct val="115000"/>
            </a:lnSpc>
            <a:spcBef>
              <a:spcPts val="0"/>
            </a:spcBef>
            <a:spcAft>
              <a:spcPts val="600"/>
            </a:spcAft>
          </a:pPr>
          <a:r>
            <a:rPr lang="en-US" sz="650">
              <a:solidFill>
                <a:srgbClr val="000000"/>
              </a:solidFill>
              <a:effectLst/>
              <a:latin typeface="Arial" panose="020B0604020202020204" pitchFamily="34" charset="0"/>
              <a:ea typeface="Times New Roman" panose="02020603050405020304" pitchFamily="18" charset="0"/>
            </a:rPr>
            <a:t>State Treasurer</a:t>
          </a:r>
        </a:p>
        <a:p>
          <a:pPr marL="0" marR="0" algn="r">
            <a:lnSpc>
              <a:spcPct val="115000"/>
            </a:lnSpc>
            <a:spcBef>
              <a:spcPts val="0"/>
            </a:spcBef>
            <a:spcAft>
              <a:spcPts val="0"/>
            </a:spcAft>
          </a:pPr>
          <a:r>
            <a:rPr lang="en-US" sz="650" cap="all">
              <a:solidFill>
                <a:srgbClr val="000000"/>
              </a:solidFill>
              <a:effectLst/>
              <a:latin typeface="Arial" panose="020B0604020202020204" pitchFamily="34" charset="0"/>
              <a:ea typeface="Times New Roman" panose="02020603050405020304" pitchFamily="18" charset="0"/>
            </a:rPr>
            <a:t>Malia M. Cohen</a:t>
          </a:r>
        </a:p>
        <a:p>
          <a:pPr marL="0" marR="0" algn="r">
            <a:lnSpc>
              <a:spcPct val="115000"/>
            </a:lnSpc>
            <a:spcBef>
              <a:spcPts val="0"/>
            </a:spcBef>
            <a:spcAft>
              <a:spcPts val="600"/>
            </a:spcAft>
          </a:pPr>
          <a:r>
            <a:rPr lang="en-US" sz="650">
              <a:solidFill>
                <a:srgbClr val="000000"/>
              </a:solidFill>
              <a:effectLst/>
              <a:latin typeface="Arial" panose="020B0604020202020204" pitchFamily="34" charset="0"/>
              <a:ea typeface="Times New Roman" panose="02020603050405020304" pitchFamily="18" charset="0"/>
            </a:rPr>
            <a:t>State Controller</a:t>
          </a:r>
        </a:p>
        <a:p>
          <a:pPr marL="0" marR="0" algn="r">
            <a:lnSpc>
              <a:spcPct val="115000"/>
            </a:lnSpc>
            <a:spcBef>
              <a:spcPts val="0"/>
            </a:spcBef>
            <a:spcAft>
              <a:spcPts val="0"/>
            </a:spcAft>
          </a:pPr>
          <a:r>
            <a:rPr lang="en-US" sz="650" cap="all">
              <a:solidFill>
                <a:srgbClr val="000000"/>
              </a:solidFill>
              <a:effectLst/>
              <a:latin typeface="Arial" panose="020B0604020202020204" pitchFamily="34" charset="0"/>
              <a:ea typeface="Times New Roman" panose="02020603050405020304" pitchFamily="18" charset="0"/>
            </a:rPr>
            <a:t>JOe STEPHENSHAW</a:t>
          </a:r>
        </a:p>
        <a:p>
          <a:pPr marL="0" marR="0" algn="r">
            <a:lnSpc>
              <a:spcPct val="115000"/>
            </a:lnSpc>
            <a:spcBef>
              <a:spcPts val="0"/>
            </a:spcBef>
            <a:spcAft>
              <a:spcPts val="600"/>
            </a:spcAft>
          </a:pPr>
          <a:r>
            <a:rPr lang="en-US" sz="650">
              <a:solidFill>
                <a:srgbClr val="000000"/>
              </a:solidFill>
              <a:effectLst/>
              <a:latin typeface="Arial" panose="020B0604020202020204" pitchFamily="34" charset="0"/>
              <a:ea typeface="Times New Roman" panose="02020603050405020304" pitchFamily="18" charset="0"/>
            </a:rPr>
            <a:t>Director of Finance</a:t>
          </a:r>
        </a:p>
        <a:p>
          <a:pPr marL="0" marR="0" algn="r">
            <a:lnSpc>
              <a:spcPct val="115000"/>
            </a:lnSpc>
            <a:spcBef>
              <a:spcPts val="0"/>
            </a:spcBef>
            <a:spcAft>
              <a:spcPts val="0"/>
            </a:spcAft>
          </a:pPr>
          <a:r>
            <a:rPr lang="en-US" sz="650" cap="all">
              <a:solidFill>
                <a:srgbClr val="000000"/>
              </a:solidFill>
              <a:effectLst/>
              <a:latin typeface="Arial" panose="020B0604020202020204" pitchFamily="34" charset="0"/>
              <a:ea typeface="Times New Roman" panose="02020603050405020304" pitchFamily="18" charset="0"/>
            </a:rPr>
            <a:t>DAVID HOCHSCHILD</a:t>
          </a:r>
        </a:p>
        <a:p>
          <a:pPr marL="0" marR="0" algn="r">
            <a:lnSpc>
              <a:spcPct val="115000"/>
            </a:lnSpc>
            <a:spcBef>
              <a:spcPts val="0"/>
            </a:spcBef>
            <a:spcAft>
              <a:spcPts val="600"/>
            </a:spcAft>
          </a:pPr>
          <a:r>
            <a:rPr lang="en-US" sz="650">
              <a:solidFill>
                <a:srgbClr val="000000"/>
              </a:solidFill>
              <a:effectLst/>
              <a:latin typeface="Arial" panose="020B0604020202020204" pitchFamily="34" charset="0"/>
              <a:ea typeface="Times New Roman" panose="02020603050405020304" pitchFamily="18" charset="0"/>
            </a:rPr>
            <a:t>Chair</a:t>
          </a:r>
          <a:br>
            <a:rPr lang="en-US" sz="650">
              <a:solidFill>
                <a:srgbClr val="000000"/>
              </a:solidFill>
              <a:effectLst/>
              <a:latin typeface="Arial" panose="020B0604020202020204" pitchFamily="34" charset="0"/>
              <a:ea typeface="Times New Roman" panose="02020603050405020304" pitchFamily="18" charset="0"/>
            </a:rPr>
          </a:br>
          <a:r>
            <a:rPr lang="en-US" sz="650">
              <a:solidFill>
                <a:srgbClr val="000000"/>
              </a:solidFill>
              <a:effectLst/>
              <a:latin typeface="Arial" panose="020B0604020202020204" pitchFamily="34" charset="0"/>
              <a:ea typeface="Times New Roman" panose="02020603050405020304" pitchFamily="18" charset="0"/>
            </a:rPr>
            <a:t>Energy Commission</a:t>
          </a:r>
        </a:p>
        <a:p>
          <a:pPr marL="0" marR="0" algn="r">
            <a:lnSpc>
              <a:spcPct val="115000"/>
            </a:lnSpc>
            <a:spcBef>
              <a:spcPts val="0"/>
            </a:spcBef>
            <a:spcAft>
              <a:spcPts val="0"/>
            </a:spcAft>
          </a:pPr>
          <a:r>
            <a:rPr lang="en-US" sz="650" cap="all">
              <a:solidFill>
                <a:srgbClr val="000000"/>
              </a:solidFill>
              <a:effectLst/>
              <a:latin typeface="Arial" panose="020B0604020202020204" pitchFamily="34" charset="0"/>
              <a:ea typeface="Times New Roman" panose="02020603050405020304" pitchFamily="18" charset="0"/>
            </a:rPr>
            <a:t>Alice Busching Reynolds</a:t>
          </a:r>
        </a:p>
        <a:p>
          <a:pPr marL="0" marR="0" algn="r">
            <a:lnSpc>
              <a:spcPct val="115000"/>
            </a:lnSpc>
            <a:spcBef>
              <a:spcPts val="0"/>
            </a:spcBef>
            <a:spcAft>
              <a:spcPts val="600"/>
            </a:spcAft>
          </a:pPr>
          <a:r>
            <a:rPr lang="en-US" sz="650">
              <a:solidFill>
                <a:srgbClr val="000000"/>
              </a:solidFill>
              <a:effectLst/>
              <a:latin typeface="Arial" panose="020B0604020202020204" pitchFamily="34" charset="0"/>
              <a:ea typeface="Times New Roman" panose="02020603050405020304" pitchFamily="18" charset="0"/>
            </a:rPr>
            <a:t>President</a:t>
          </a:r>
          <a:br>
            <a:rPr lang="en-US" sz="650">
              <a:solidFill>
                <a:srgbClr val="000000"/>
              </a:solidFill>
              <a:effectLst/>
              <a:latin typeface="Arial" panose="020B0604020202020204" pitchFamily="34" charset="0"/>
              <a:ea typeface="Times New Roman" panose="02020603050405020304" pitchFamily="18" charset="0"/>
            </a:rPr>
          </a:br>
          <a:r>
            <a:rPr lang="en-US" sz="650">
              <a:solidFill>
                <a:srgbClr val="000000"/>
              </a:solidFill>
              <a:effectLst/>
              <a:latin typeface="Arial" panose="020B0604020202020204" pitchFamily="34" charset="0"/>
              <a:ea typeface="Times New Roman" panose="02020603050405020304" pitchFamily="18" charset="0"/>
            </a:rPr>
            <a:t>Public Utilities Commission</a:t>
          </a:r>
        </a:p>
        <a:p>
          <a:pPr marL="0" marR="0" algn="r">
            <a:lnSpc>
              <a:spcPct val="115000"/>
            </a:lnSpc>
            <a:spcBef>
              <a:spcPts val="900"/>
            </a:spcBef>
            <a:spcAft>
              <a:spcPts val="0"/>
            </a:spcAft>
          </a:pPr>
          <a:r>
            <a:rPr lang="en-US" sz="650" b="1" cap="all">
              <a:solidFill>
                <a:srgbClr val="000000"/>
              </a:solidFill>
              <a:effectLst/>
              <a:latin typeface="Arial" panose="020B0604020202020204" pitchFamily="34" charset="0"/>
              <a:ea typeface="Times New Roman" panose="02020603050405020304" pitchFamily="18" charset="0"/>
            </a:rPr>
            <a:t>Executive Director</a:t>
          </a:r>
        </a:p>
        <a:p>
          <a:pPr marL="0" marR="0" algn="r">
            <a:lnSpc>
              <a:spcPct val="115000"/>
            </a:lnSpc>
            <a:spcBef>
              <a:spcPts val="0"/>
            </a:spcBef>
            <a:spcAft>
              <a:spcPts val="900"/>
            </a:spcAft>
          </a:pPr>
          <a:r>
            <a:rPr lang="en-US" sz="650">
              <a:solidFill>
                <a:srgbClr val="000000"/>
              </a:solidFill>
              <a:effectLst/>
              <a:latin typeface="Arial" panose="020B0604020202020204" pitchFamily="34" charset="0"/>
              <a:ea typeface="Times New Roman" panose="02020603050405020304" pitchFamily="18" charset="0"/>
            </a:rPr>
            <a:t>Claudia Quezada, EdD</a:t>
          </a:r>
          <a:endParaRPr lang="en-US" sz="1000">
            <a:solidFill>
              <a:srgbClr val="000000"/>
            </a:solidFill>
            <a:effectLst/>
            <a:latin typeface="Times New Roman" panose="02020603050405020304" pitchFamily="18" charset="0"/>
            <a:ea typeface="Calibri" panose="020F0502020204030204" pitchFamily="34" charset="0"/>
          </a:endParaRPr>
        </a:p>
      </xdr:txBody>
    </xdr:sp>
    <xdr:clientData/>
  </xdr:twoCellAnchor>
  <xdr:oneCellAnchor>
    <xdr:from>
      <xdr:col>1</xdr:col>
      <xdr:colOff>1136007</xdr:colOff>
      <xdr:row>64</xdr:row>
      <xdr:rowOff>135014</xdr:rowOff>
    </xdr:from>
    <xdr:ext cx="627992" cy="256737"/>
    <xdr:sp macro="" textlink="Cost_ratio_TECH_Bridge">
      <xdr:nvSpPr>
        <xdr:cNvPr id="4" name="TextBox 3">
          <a:extLst>
            <a:ext uri="{FF2B5EF4-FFF2-40B4-BE49-F238E27FC236}">
              <a16:creationId xmlns:a16="http://schemas.microsoft.com/office/drawing/2014/main" id="{00000000-0008-0000-0300-000004000000}"/>
            </a:ext>
          </a:extLst>
        </xdr:cNvPr>
        <xdr:cNvSpPr txBox="1"/>
      </xdr:nvSpPr>
      <xdr:spPr>
        <a:xfrm>
          <a:off x="1413098" y="11010832"/>
          <a:ext cx="627992"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85E041-C860-4008-9486-A06F9C9B920F}" type="TxLink">
            <a:rPr lang="en-US" sz="1050" b="0" i="0" u="none" strike="noStrike">
              <a:solidFill>
                <a:schemeClr val="bg1">
                  <a:lumMod val="50000"/>
                </a:schemeClr>
              </a:solidFill>
              <a:latin typeface="Calibri"/>
              <a:cs typeface="Calibri"/>
            </a:rPr>
            <a:pPr/>
            <a:t>0.00000</a:t>
          </a:fld>
          <a:endParaRPr lang="en-US" sz="1050">
            <a:solidFill>
              <a:schemeClr val="bg1">
                <a:lumMod val="50000"/>
              </a:schemeClr>
            </a:solidFill>
          </a:endParaRPr>
        </a:p>
      </xdr:txBody>
    </xdr:sp>
    <xdr:clientData/>
  </xdr:oneCellAnchor>
  <xdr:twoCellAnchor>
    <xdr:from>
      <xdr:col>2</xdr:col>
      <xdr:colOff>381002</xdr:colOff>
      <xdr:row>63</xdr:row>
      <xdr:rowOff>66387</xdr:rowOff>
    </xdr:from>
    <xdr:to>
      <xdr:col>2</xdr:col>
      <xdr:colOff>1010228</xdr:colOff>
      <xdr:row>65</xdr:row>
      <xdr:rowOff>28864</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742047" y="10769023"/>
          <a:ext cx="629226" cy="30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Palo Alto</a:t>
          </a:r>
        </a:p>
      </xdr:txBody>
    </xdr:sp>
    <xdr:clientData/>
  </xdr:twoCellAnchor>
  <xdr:twoCellAnchor>
    <xdr:from>
      <xdr:col>1</xdr:col>
      <xdr:colOff>1274619</xdr:colOff>
      <xdr:row>68</xdr:row>
      <xdr:rowOff>152977</xdr:rowOff>
    </xdr:from>
    <xdr:to>
      <xdr:col>1</xdr:col>
      <xdr:colOff>1274619</xdr:colOff>
      <xdr:row>69</xdr:row>
      <xdr:rowOff>80506</xdr:rowOff>
    </xdr:to>
    <xdr:sp macro="" textlink="Cost_Ratio_Palo_Alto">
      <xdr:nvSpPr>
        <xdr:cNvPr id="6" name="TextBox 5">
          <a:extLst>
            <a:ext uri="{FF2B5EF4-FFF2-40B4-BE49-F238E27FC236}">
              <a16:creationId xmlns:a16="http://schemas.microsoft.com/office/drawing/2014/main" id="{00000000-0008-0000-0300-000006000000}"/>
            </a:ext>
          </a:extLst>
        </xdr:cNvPr>
        <xdr:cNvSpPr txBox="1"/>
      </xdr:nvSpPr>
      <xdr:spPr>
        <a:xfrm>
          <a:off x="1551710" y="11571432"/>
          <a:ext cx="0" cy="112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F0A4B699-474A-4530-92BB-DBC6DE415F4A}" type="TxLink">
            <a:rPr lang="en-US" sz="1050" b="0" i="0" u="none" strike="noStrike">
              <a:solidFill>
                <a:schemeClr val="bg1">
                  <a:lumMod val="50000"/>
                </a:schemeClr>
              </a:solidFill>
              <a:latin typeface="Calibri"/>
              <a:cs typeface="Calibri"/>
            </a:rPr>
            <a:pPr algn="ctr"/>
            <a:t>0.00000</a:t>
          </a:fld>
          <a:endParaRPr lang="en-US" sz="1050">
            <a:solidFill>
              <a:schemeClr val="bg1">
                <a:lumMod val="50000"/>
              </a:schemeClr>
            </a:solidFill>
          </a:endParaRPr>
        </a:p>
      </xdr:txBody>
    </xdr:sp>
    <xdr:clientData/>
  </xdr:twoCellAnchor>
  <xdr:twoCellAnchor>
    <xdr:from>
      <xdr:col>1</xdr:col>
      <xdr:colOff>1078343</xdr:colOff>
      <xdr:row>63</xdr:row>
      <xdr:rowOff>63500</xdr:rowOff>
    </xdr:from>
    <xdr:to>
      <xdr:col>1</xdr:col>
      <xdr:colOff>1824182</xdr:colOff>
      <xdr:row>65</xdr:row>
      <xdr:rowOff>4041</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355434" y="10766136"/>
          <a:ext cx="745839" cy="286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TECH Bridge</a:t>
          </a:r>
        </a:p>
      </xdr:txBody>
    </xdr:sp>
    <xdr:clientData/>
  </xdr:twoCellAnchor>
  <xdr:twoCellAnchor>
    <xdr:from>
      <xdr:col>2</xdr:col>
      <xdr:colOff>47338</xdr:colOff>
      <xdr:row>63</xdr:row>
      <xdr:rowOff>69272</xdr:rowOff>
    </xdr:from>
    <xdr:to>
      <xdr:col>2</xdr:col>
      <xdr:colOff>311729</xdr:colOff>
      <xdr:row>64</xdr:row>
      <xdr:rowOff>167409</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142838" y="10771908"/>
          <a:ext cx="264391" cy="27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0" i="0" u="sng" strike="noStrike">
              <a:solidFill>
                <a:schemeClr val="tx1">
                  <a:lumMod val="50000"/>
                  <a:lumOff val="50000"/>
                </a:schemeClr>
              </a:solidFill>
              <a:latin typeface="Calibri"/>
              <a:cs typeface="Calibri"/>
            </a:rPr>
            <a:t>XXX</a:t>
          </a:r>
        </a:p>
      </xdr:txBody>
    </xdr:sp>
    <xdr:clientData/>
  </xdr:twoCellAnchor>
  <xdr:twoCellAnchor>
    <xdr:from>
      <xdr:col>1</xdr:col>
      <xdr:colOff>1835725</xdr:colOff>
      <xdr:row>65</xdr:row>
      <xdr:rowOff>20201</xdr:rowOff>
    </xdr:from>
    <xdr:to>
      <xdr:col>2</xdr:col>
      <xdr:colOff>357908</xdr:colOff>
      <xdr:row>65</xdr:row>
      <xdr:rowOff>161634</xdr:rowOff>
    </xdr:to>
    <xdr:sp macro="" textlink="Cost_Ratio_CEC">
      <xdr:nvSpPr>
        <xdr:cNvPr id="10" name="TextBox 9">
          <a:extLst>
            <a:ext uri="{FF2B5EF4-FFF2-40B4-BE49-F238E27FC236}">
              <a16:creationId xmlns:a16="http://schemas.microsoft.com/office/drawing/2014/main" id="{00000000-0008-0000-0300-00000A000000}"/>
            </a:ext>
          </a:extLst>
        </xdr:cNvPr>
        <xdr:cNvSpPr txBox="1"/>
      </xdr:nvSpPr>
      <xdr:spPr>
        <a:xfrm>
          <a:off x="2112816" y="11069201"/>
          <a:ext cx="606137" cy="141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E40731A2-C76B-4B0B-A677-B60CFD1AB67F}" type="TxLink">
            <a:rPr lang="en-US" sz="1050" b="0" i="0" u="none" strike="noStrike">
              <a:solidFill>
                <a:schemeClr val="bg1">
                  <a:lumMod val="50000"/>
                </a:schemeClr>
              </a:solidFill>
              <a:latin typeface="Calibri"/>
              <a:cs typeface="Calibri"/>
            </a:rPr>
            <a:pPr algn="ctr"/>
            <a:t>0.00000</a:t>
          </a:fld>
          <a:endParaRPr lang="en-US" sz="1000">
            <a:solidFill>
              <a:schemeClr val="bg1">
                <a:lumMod val="50000"/>
              </a:schemeClr>
            </a:solidFill>
          </a:endParaRPr>
        </a:p>
      </xdr:txBody>
    </xdr:sp>
    <xdr:clientData/>
  </xdr:twoCellAnchor>
  <xdr:twoCellAnchor>
    <xdr:from>
      <xdr:col>2</xdr:col>
      <xdr:colOff>392545</xdr:colOff>
      <xdr:row>65</xdr:row>
      <xdr:rowOff>5771</xdr:rowOff>
    </xdr:from>
    <xdr:to>
      <xdr:col>2</xdr:col>
      <xdr:colOff>1015999</xdr:colOff>
      <xdr:row>65</xdr:row>
      <xdr:rowOff>173180</xdr:rowOff>
    </xdr:to>
    <xdr:sp macro="" textlink="Cost_Ratio_Palo_Alto">
      <xdr:nvSpPr>
        <xdr:cNvPr id="11" name="TextBox 10">
          <a:extLst>
            <a:ext uri="{FF2B5EF4-FFF2-40B4-BE49-F238E27FC236}">
              <a16:creationId xmlns:a16="http://schemas.microsoft.com/office/drawing/2014/main" id="{00000000-0008-0000-0300-00000B000000}"/>
            </a:ext>
          </a:extLst>
        </xdr:cNvPr>
        <xdr:cNvSpPr txBox="1"/>
      </xdr:nvSpPr>
      <xdr:spPr>
        <a:xfrm>
          <a:off x="2753590" y="11054771"/>
          <a:ext cx="623454" cy="167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410EFCD5-EE25-4E53-A5DF-FA306F61ECA8}" type="TxLink">
            <a:rPr lang="en-US" sz="1050" b="0" i="0" u="none" strike="noStrike">
              <a:solidFill>
                <a:schemeClr val="bg1">
                  <a:lumMod val="50000"/>
                </a:schemeClr>
              </a:solidFill>
              <a:latin typeface="Calibri"/>
              <a:cs typeface="Calibri"/>
            </a:rPr>
            <a:pPr algn="ctr"/>
            <a:t>0.00000</a:t>
          </a:fld>
          <a:endParaRPr lang="en-US" sz="900">
            <a:solidFill>
              <a:schemeClr val="bg1">
                <a:lumMod val="50000"/>
              </a:schemeClr>
            </a:solidFill>
          </a:endParaRPr>
        </a:p>
      </xdr:txBody>
    </xdr:sp>
    <xdr:clientData/>
  </xdr:twoCellAnchor>
  <xdr:twoCellAnchor>
    <xdr:from>
      <xdr:col>2</xdr:col>
      <xdr:colOff>1143000</xdr:colOff>
      <xdr:row>63</xdr:row>
      <xdr:rowOff>0</xdr:rowOff>
    </xdr:from>
    <xdr:to>
      <xdr:col>2</xdr:col>
      <xdr:colOff>1148772</xdr:colOff>
      <xdr:row>68</xdr:row>
      <xdr:rowOff>17318</xdr:rowOff>
    </xdr:to>
    <xdr:cxnSp macro="">
      <xdr:nvCxnSpPr>
        <xdr:cNvPr id="13" name="Straight Connector 12">
          <a:extLst>
            <a:ext uri="{FF2B5EF4-FFF2-40B4-BE49-F238E27FC236}">
              <a16:creationId xmlns:a16="http://schemas.microsoft.com/office/drawing/2014/main" id="{00000000-0008-0000-0300-00000D000000}"/>
            </a:ext>
          </a:extLst>
        </xdr:cNvPr>
        <xdr:cNvCxnSpPr/>
      </xdr:nvCxnSpPr>
      <xdr:spPr>
        <a:xfrm>
          <a:off x="3504045" y="10702636"/>
          <a:ext cx="5772" cy="733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992910</xdr:colOff>
      <xdr:row>63</xdr:row>
      <xdr:rowOff>1</xdr:rowOff>
    </xdr:from>
    <xdr:to>
      <xdr:col>4</xdr:col>
      <xdr:colOff>998682</xdr:colOff>
      <xdr:row>68</xdr:row>
      <xdr:rowOff>17319</xdr:rowOff>
    </xdr:to>
    <xdr:cxnSp macro="">
      <xdr:nvCxnSpPr>
        <xdr:cNvPr id="14" name="Straight Connector 13">
          <a:extLst>
            <a:ext uri="{FF2B5EF4-FFF2-40B4-BE49-F238E27FC236}">
              <a16:creationId xmlns:a16="http://schemas.microsoft.com/office/drawing/2014/main" id="{00000000-0008-0000-0300-00000E000000}"/>
            </a:ext>
          </a:extLst>
        </xdr:cNvPr>
        <xdr:cNvCxnSpPr/>
      </xdr:nvCxnSpPr>
      <xdr:spPr>
        <a:xfrm>
          <a:off x="4566228" y="10702637"/>
          <a:ext cx="5772" cy="733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600364</xdr:colOff>
      <xdr:row>63</xdr:row>
      <xdr:rowOff>5773</xdr:rowOff>
    </xdr:from>
    <xdr:to>
      <xdr:col>6</xdr:col>
      <xdr:colOff>606136</xdr:colOff>
      <xdr:row>68</xdr:row>
      <xdr:rowOff>23091</xdr:rowOff>
    </xdr:to>
    <xdr:cxnSp macro="">
      <xdr:nvCxnSpPr>
        <xdr:cNvPr id="15" name="Straight Connector 14">
          <a:extLst>
            <a:ext uri="{FF2B5EF4-FFF2-40B4-BE49-F238E27FC236}">
              <a16:creationId xmlns:a16="http://schemas.microsoft.com/office/drawing/2014/main" id="{00000000-0008-0000-0300-00000F000000}"/>
            </a:ext>
          </a:extLst>
        </xdr:cNvPr>
        <xdr:cNvCxnSpPr/>
      </xdr:nvCxnSpPr>
      <xdr:spPr>
        <a:xfrm>
          <a:off x="6159500" y="10708409"/>
          <a:ext cx="5772" cy="733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352425</xdr:colOff>
      <xdr:row>3</xdr:row>
      <xdr:rowOff>123824</xdr:rowOff>
    </xdr:from>
    <xdr:to>
      <xdr:col>11</xdr:col>
      <xdr:colOff>819150</xdr:colOff>
      <xdr:row>7</xdr:row>
      <xdr:rowOff>57150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9734550" y="1285874"/>
          <a:ext cx="1619250" cy="742951"/>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ctr"/>
          <a:r>
            <a:rPr lang="en-US" sz="1100" b="1"/>
            <a:t>Claim-Eligible Principal A</a:t>
          </a:r>
          <a:r>
            <a:rPr lang="en-US" sz="1100" b="1" baseline="0"/>
            <a:t>mount must be ≤ Total Project Cost </a:t>
          </a:r>
          <a:endParaRPr lang="en-US" sz="1100" b="1"/>
        </a:p>
      </xdr:txBody>
    </xdr:sp>
    <xdr:clientData/>
  </xdr:twoCellAnchor>
  <xdr:twoCellAnchor>
    <xdr:from>
      <xdr:col>10</xdr:col>
      <xdr:colOff>28588</xdr:colOff>
      <xdr:row>3</xdr:row>
      <xdr:rowOff>0</xdr:rowOff>
    </xdr:from>
    <xdr:to>
      <xdr:col>11</xdr:col>
      <xdr:colOff>9525</xdr:colOff>
      <xdr:row>3</xdr:row>
      <xdr:rowOff>123824</xdr:rowOff>
    </xdr:to>
    <xdr:cxnSp macro="">
      <xdr:nvCxnSpPr>
        <xdr:cNvPr id="10" name="Elbow Connector 9">
          <a:extLst>
            <a:ext uri="{FF2B5EF4-FFF2-40B4-BE49-F238E27FC236}">
              <a16:creationId xmlns:a16="http://schemas.microsoft.com/office/drawing/2014/main" id="{00000000-0008-0000-0400-00000A000000}"/>
            </a:ext>
          </a:extLst>
        </xdr:cNvPr>
        <xdr:cNvCxnSpPr>
          <a:stCxn id="4" idx="0"/>
        </xdr:cNvCxnSpPr>
      </xdr:nvCxnSpPr>
      <xdr:spPr>
        <a:xfrm rot="16200000" flipV="1">
          <a:off x="9839334" y="581033"/>
          <a:ext cx="276220" cy="1133462"/>
        </a:xfrm>
        <a:prstGeom prst="bentConnector2">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219075</xdr:colOff>
      <xdr:row>8</xdr:row>
      <xdr:rowOff>76201</xdr:rowOff>
    </xdr:from>
    <xdr:to>
      <xdr:col>11</xdr:col>
      <xdr:colOff>561975</xdr:colOff>
      <xdr:row>10</xdr:row>
      <xdr:rowOff>238126</xdr:rowOff>
    </xdr:to>
    <xdr:sp macro="" textlink="">
      <xdr:nvSpPr>
        <xdr:cNvPr id="15" name="Rectangle 14">
          <a:extLst>
            <a:ext uri="{FF2B5EF4-FFF2-40B4-BE49-F238E27FC236}">
              <a16:creationId xmlns:a16="http://schemas.microsoft.com/office/drawing/2014/main" id="{00000000-0008-0000-0400-00000F000000}"/>
            </a:ext>
          </a:extLst>
        </xdr:cNvPr>
        <xdr:cNvSpPr/>
      </xdr:nvSpPr>
      <xdr:spPr>
        <a:xfrm>
          <a:off x="7924800" y="2438401"/>
          <a:ext cx="1352550" cy="5715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lIns="0" tIns="0" rIns="0" bIns="0" rtlCol="0" anchor="ctr"/>
        <a:lstStyle/>
        <a:p>
          <a:pPr algn="ctr"/>
          <a:r>
            <a:rPr lang="en-US" sz="1100" b="1"/>
            <a:t>EEEMs</a:t>
          </a:r>
          <a:r>
            <a:rPr lang="en-US" sz="1100" b="1" baseline="0"/>
            <a:t> and Directly Related must be ≥ 70% of enrolled amount</a:t>
          </a:r>
          <a:endParaRPr lang="en-US" sz="1100" b="1"/>
        </a:p>
      </xdr:txBody>
    </xdr:sp>
    <xdr:clientData/>
  </xdr:twoCellAnchor>
  <xdr:twoCellAnchor>
    <xdr:from>
      <xdr:col>9</xdr:col>
      <xdr:colOff>1000124</xdr:colOff>
      <xdr:row>6</xdr:row>
      <xdr:rowOff>104775</xdr:rowOff>
    </xdr:from>
    <xdr:to>
      <xdr:col>10</xdr:col>
      <xdr:colOff>320039</xdr:colOff>
      <xdr:row>6</xdr:row>
      <xdr:rowOff>104775</xdr:rowOff>
    </xdr:to>
    <xdr:cxnSp macro="">
      <xdr:nvCxnSpPr>
        <xdr:cNvPr id="20" name="Straight Arrow Connector 19">
          <a:extLst>
            <a:ext uri="{FF2B5EF4-FFF2-40B4-BE49-F238E27FC236}">
              <a16:creationId xmlns:a16="http://schemas.microsoft.com/office/drawing/2014/main" id="{00000000-0008-0000-0400-000014000000}"/>
            </a:ext>
          </a:extLst>
        </xdr:cNvPr>
        <xdr:cNvCxnSpPr/>
      </xdr:nvCxnSpPr>
      <xdr:spPr>
        <a:xfrm>
          <a:off x="9915524" y="2076450"/>
          <a:ext cx="320040"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1000124</xdr:colOff>
      <xdr:row>9</xdr:row>
      <xdr:rowOff>104775</xdr:rowOff>
    </xdr:from>
    <xdr:to>
      <xdr:col>10</xdr:col>
      <xdr:colOff>228599</xdr:colOff>
      <xdr:row>9</xdr:row>
      <xdr:rowOff>104775</xdr:rowOff>
    </xdr:to>
    <xdr:cxnSp macro="">
      <xdr:nvCxnSpPr>
        <xdr:cNvPr id="22" name="Straight Arrow Connector 21">
          <a:extLst>
            <a:ext uri="{FF2B5EF4-FFF2-40B4-BE49-F238E27FC236}">
              <a16:creationId xmlns:a16="http://schemas.microsoft.com/office/drawing/2014/main" id="{00000000-0008-0000-0400-000016000000}"/>
            </a:ext>
          </a:extLst>
        </xdr:cNvPr>
        <xdr:cNvCxnSpPr/>
      </xdr:nvCxnSpPr>
      <xdr:spPr>
        <a:xfrm>
          <a:off x="9915524" y="2667000"/>
          <a:ext cx="228600"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0</xdr:row>
      <xdr:rowOff>133350</xdr:rowOff>
    </xdr:from>
    <xdr:to>
      <xdr:col>13</xdr:col>
      <xdr:colOff>9525</xdr:colOff>
      <xdr:row>2</xdr:row>
      <xdr:rowOff>85725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57175" y="133350"/>
          <a:ext cx="10125075" cy="33337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en-US" sz="1200" b="1"/>
            <a:t>These value lists are used</a:t>
          </a:r>
          <a:r>
            <a:rPr lang="en-US" sz="1200" b="1" baseline="0"/>
            <a:t> in formulas and for cell validation elsewhere in the workbook.  Changes will have implications for workbook functionality. </a:t>
          </a:r>
          <a:endParaRPr lang="en-US" sz="1200" b="1"/>
        </a:p>
      </xdr:txBody>
    </xdr:sp>
    <xdr:clientData/>
  </xdr:twoCellAnchor>
</xdr:wsDr>
</file>

<file path=xl/persons/person.xml><?xml version="1.0" encoding="utf-8"?>
<personList xmlns="http://schemas.microsoft.com/office/spreadsheetml/2018/threadedcomments" xmlns:x="http://schemas.openxmlformats.org/spreadsheetml/2006/main">
  <person displayName="Dorn, Candace" id="{005D7F29-6790-4B61-81EC-01F2931C5295}" userId="S::Candace.Dorn@treasurer.ca.gov::9f66bd49-f1e7-437b-b808-c6b3c539b97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ixed_Variable" displayName="Fixed_Variable" ref="E13:E15" totalsRowShown="0" headerRowDxfId="241" dataDxfId="240" tableBorderDxfId="239">
  <autoFilter ref="E13:E15" xr:uid="{00000000-0009-0000-0100-000002000000}"/>
  <tableColumns count="1">
    <tableColumn id="1" xr3:uid="{00000000-0010-0000-0000-000001000000}" name="Fixed or Variable " dataDxfId="2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s_No" displayName="Yes_No" ref="E9:E11" totalsRowShown="0" headerRowDxfId="237" dataDxfId="236" tableBorderDxfId="235">
  <autoFilter ref="E9:E11" xr:uid="{00000000-0009-0000-0100-000003000000}"/>
  <tableColumns count="1">
    <tableColumn id="1" xr3:uid="{00000000-0010-0000-0100-000001000000}" name="Yes/No" dataDxfId="23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Yes_NR" displayName="Yes_NR" ref="E17:E19" totalsRowShown="0" headerRowDxfId="233" dataDxfId="232" tableBorderDxfId="231">
  <autoFilter ref="E17:E19" xr:uid="{00000000-0009-0000-0100-000004000000}"/>
  <tableColumns count="1">
    <tableColumn id="1" xr3:uid="{00000000-0010-0000-0200-000001000000}" name="Yes/Not Required" dataDxfId="2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Number_Units" displayName="Number_Units" ref="G17:G21" totalsRowShown="0" headerRowDxfId="229" dataDxfId="228" tableBorderDxfId="227">
  <autoFilter ref="G17:G21" xr:uid="{00000000-0009-0000-0100-000005000000}"/>
  <tableColumns count="1">
    <tableColumn id="1" xr3:uid="{00000000-0010-0000-0300-000001000000}" name="# of Units" dataDxfId="2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FICO_Range" displayName="FICO_Range" ref="G23:G29" totalsRowShown="0" headerRowDxfId="225" dataDxfId="224" tableBorderDxfId="223">
  <autoFilter ref="G23:G29" xr:uid="{00000000-0009-0000-0100-000006000000}"/>
  <tableColumns count="1">
    <tableColumn id="1" xr3:uid="{00000000-0010-0000-0400-000001000000}" name="FICO Range" dataDxfId="2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Loan_Type" displayName="Loan_Type" ref="I5:I9" totalsRowShown="0" headerRowDxfId="221" dataDxfId="220" tableBorderDxfId="219">
  <autoFilter ref="I5:I9" xr:uid="{00000000-0009-0000-0100-000007000000}"/>
  <tableColumns count="1">
    <tableColumn id="1" xr3:uid="{00000000-0010-0000-0500-000001000000}" name="Loan Type" dataDxfId="2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ime_In_Home" displayName="Time_In_Home" ref="I11:I16" totalsRowShown="0" headerRowDxfId="217" dataDxfId="216" tableBorderDxfId="215">
  <autoFilter ref="I11:I16" xr:uid="{00000000-0009-0000-0100-000008000000}"/>
  <tableColumns count="1">
    <tableColumn id="1" xr3:uid="{00000000-0010-0000-0600-000001000000}" name="Borrower time in home" dataDxfId="21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Underserved" displayName="Underserved" ref="I18:I21" totalsRowShown="0" headerRowDxfId="213" dataDxfId="212" tableBorderDxfId="211">
  <autoFilter ref="I18:I21" xr:uid="{00000000-0009-0000-0100-000009000000}"/>
  <tableColumns count="1">
    <tableColumn id="1" xr3:uid="{00000000-0010-0000-0700-000001000000}" name="Borrower underserved" dataDxfId="2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Occupancy" displayName="Occupancy" ref="I23:I27" totalsRowShown="0" headerRowDxfId="209" dataDxfId="208" tableBorderDxfId="207">
  <autoFilter ref="I23:I27" xr:uid="{00000000-0009-0000-0100-00000A000000}"/>
  <tableColumns count="1">
    <tableColumn id="1" xr3:uid="{00000000-0010-0000-0800-000001000000}" name="Property Occupancy" dataDxfId="20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DTI" displayName="DTI" ref="E28:E32" totalsRowShown="0" headerRowDxfId="205" tableBorderDxfId="204">
  <autoFilter ref="E28:E32" xr:uid="{00000000-0009-0000-0100-00000C000000}"/>
  <tableColumns count="1">
    <tableColumn id="1" xr3:uid="{00000000-0010-0000-0900-000001000000}" name="Debt to Incom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EEEMs_Category" displayName="EEEMs_Category" ref="G5:G15" totalsRowShown="0" headerRowDxfId="203" dataDxfId="202" tableBorderDxfId="201">
  <autoFilter ref="G5:G15" xr:uid="{00000000-0009-0000-0100-00000D000000}"/>
  <tableColumns count="1">
    <tableColumn id="1" xr3:uid="{00000000-0010-0000-0A00-000001000000}" name="EEMs Categories" dataDxfId="20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IOU_Electric" displayName="IOU_Electric" ref="K12:K25" totalsRowShown="0" headerRowDxfId="199" dataDxfId="198" tableBorderDxfId="197">
  <autoFilter ref="K12:K25" xr:uid="{00000000-0009-0000-0100-00000E000000}"/>
  <tableColumns count="1">
    <tableColumn id="1" xr3:uid="{00000000-0010-0000-0B00-000001000000}" name="Electric Utility Name" dataDxfId="19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IOU_Gas" displayName="IOU_Gas" ref="K27:K35" totalsRowShown="0" headerRowDxfId="195" dataDxfId="194" tableBorderDxfId="193">
  <autoFilter ref="K27:K35" xr:uid="{00000000-0009-0000-0100-00000F000000}"/>
  <tableColumns count="1">
    <tableColumn id="1" xr3:uid="{00000000-0010-0000-0C00-000001000000}" name="Gas Utility Name" dataDxfId="19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Contractor_Type" displayName="Contractor_Type" ref="K5:K10" totalsRowShown="0" headerRowDxfId="191" dataDxfId="190" tableBorderDxfId="189">
  <autoFilter ref="K5:K10" xr:uid="{00000000-0009-0000-0100-000010000000}"/>
  <tableColumns count="1">
    <tableColumn id="1" xr3:uid="{00000000-0010-0000-0D00-000001000000}" name="Contractor Type" dataDxfId="18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E000000}" name="Secured_Unsecured" displayName="Secured_Unsecured" ref="E24:E26" totalsRowShown="0" headerRowDxfId="187" dataDxfId="186">
  <autoFilter ref="E24:E26" xr:uid="{00000000-0009-0000-0100-000001000000}"/>
  <tableColumns count="1">
    <tableColumn id="1" xr3:uid="{00000000-0010-0000-0E00-000001000000}" name="Secured or Unsecured" dataDxfId="18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Replacement_New" displayName="Replacement_New" ref="E5:E7" totalsRowShown="0" headerRowDxfId="184" dataDxfId="183">
  <autoFilter ref="E5:E7" xr:uid="{00000000-0009-0000-0100-000011000000}"/>
  <tableColumns count="1">
    <tableColumn id="1" xr3:uid="{00000000-0010-0000-0F00-000001000000}" name="Replacement or New" dataDxfId="18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Building_Type" displayName="Building_Type" ref="E21:E22" totalsRowShown="0" headerRowDxfId="181" dataDxfId="180" tableBorderDxfId="179">
  <autoFilter ref="E21:E22" xr:uid="{00000000-0009-0000-0100-000013000000}"/>
  <tableColumns count="1">
    <tableColumn id="1" xr3:uid="{00000000-0010-0000-1000-000001000000}" name="Building Type" dataDxfId="17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Borrower_Awareness" displayName="Borrower_Awareness" ref="M12:M20" totalsRowShown="0" headerRowDxfId="177" dataDxfId="176" tableBorderDxfId="175">
  <autoFilter ref="M12:M20" xr:uid="{00000000-0009-0000-0100-000014000000}"/>
  <tableColumns count="1">
    <tableColumn id="1" xr3:uid="{00000000-0010-0000-1100-000001000000}" name="How Borrower Became Aware" dataDxfId="17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Borrower_Motivation" displayName="Borrower_Motivation" ref="M22:M29" totalsRowShown="0" headerRowDxfId="173" dataDxfId="172">
  <autoFilter ref="M22:M29" xr:uid="{00000000-0009-0000-0100-000015000000}"/>
  <tableColumns count="1">
    <tableColumn id="1" xr3:uid="{00000000-0010-0000-1200-000001000000}" name="Borrower Motivation" dataDxfId="17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Utility_Providing_Rebate" displayName="Utility_Providing_Rebate" ref="K37:K48" totalsRowShown="0" headerRowDxfId="170" dataDxfId="169">
  <autoFilter ref="K37:K48" xr:uid="{00000000-0009-0000-0100-000016000000}"/>
  <tableColumns count="1">
    <tableColumn id="1" xr3:uid="{00000000-0010-0000-1300-000001000000}" name="Utility Providing Rebate" dataDxfId="16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Lender_Accounts" displayName="Lender_Accounts" ref="AH10:AL21" totalsRowShown="0" headerRowDxfId="167" dataDxfId="166">
  <autoFilter ref="AH10:AL21" xr:uid="{00000000-0009-0000-0100-00000B000000}"/>
  <tableColumns count="5">
    <tableColumn id="1" xr3:uid="{00000000-0010-0000-1400-000001000000}" name="Lender's LLR Account" dataDxfId="165"/>
    <tableColumn id="2" xr3:uid="{00000000-0010-0000-1400-000002000000}" name="Lender Account Number" dataDxfId="164"/>
    <tableColumn id="3" xr3:uid="{00000000-0010-0000-1400-000003000000}" name="Lender Name" dataDxfId="163"/>
    <tableColumn id="4" xr3:uid="{00000000-0010-0000-1400-000004000000}" name="Lender ID" dataDxfId="162"/>
    <tableColumn id="5" xr3:uid="{00000000-0010-0000-1400-000005000000}" name="Column1" dataDxfId="16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Measures_All" displayName="Measures_All" ref="O1:U121" totalsRowShown="0">
  <autoFilter ref="O1:U121" xr:uid="{00000000-0009-0000-0100-000012000000}"/>
  <tableColumns count="7">
    <tableColumn id="1" xr3:uid="{00000000-0010-0000-1500-000001000000}" name="All Valid Measures" dataDxfId="160" dataCellStyle="Normal 2"/>
    <tableColumn id="2" xr3:uid="{00000000-0010-0000-1500-000002000000}" name="Note1" dataDxfId="159" dataCellStyle="Normal 2"/>
    <tableColumn id="7" xr3:uid="{09779870-768E-441F-B12B-CD133B456078}" name="Note2" dataDxfId="158" dataCellStyle="Normal 2"/>
    <tableColumn id="5" xr3:uid="{312B4FB8-0F0B-40C7-BF7C-0ACD15B6486C}" name="Category" dataDxfId="157" dataCellStyle="Normal 2">
      <calculatedColumnFormula>LEFT(Measures_All[[#This Row],[All Valid Measures]],2)</calculatedColumnFormula>
    </tableColumn>
    <tableColumn id="6" xr3:uid="{5502DB95-9AD8-4CDF-BE3C-81F7B9492D89}" name="ID" dataDxfId="156" dataCellStyle="Normal 2">
      <calculatedColumnFormula>RIGHT(Measures_All[[#This Row],[All Valid Measures]],4)</calculatedColumnFormula>
    </tableColumn>
    <tableColumn id="3" xr3:uid="{00000000-0010-0000-1500-000003000000}" name="Gas?"/>
    <tableColumn id="4" xr3:uid="{00000000-0010-0000-1500-000004000000}" name="Elec?"/>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Allocation_Both" displayName="Allocation_Both" ref="AB2:AF18" totalsRowShown="0" headerRowDxfId="155" dataDxfId="154">
  <autoFilter ref="AB2:AF18" xr:uid="{00000000-0009-0000-0100-000017000000}"/>
  <tableColumns count="5">
    <tableColumn id="6" xr3:uid="{7C38687B-E8DF-4321-A368-3FF85C96F118}" name="Allo Fuel" dataDxfId="153"/>
    <tableColumn id="1" xr3:uid="{00000000-0010-0000-1600-000001000000}" name="Elec Utility" dataDxfId="152"/>
    <tableColumn id="2" xr3:uid="{00000000-0010-0000-1600-000002000000}" name="Gas Utility" dataDxfId="151"/>
    <tableColumn id="3" xr3:uid="{00000000-0010-0000-1600-000003000000}" name="Allo Utility" dataDxfId="150"/>
    <tableColumn id="4" xr3:uid="{00000000-0010-0000-1600-000004000000}" name="Allo Funding" dataDxfId="1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Allocation_Electric" displayName="Allocation_Electric" ref="AB20:AF36" totalsRowShown="0" headerRowDxfId="148" dataDxfId="147">
  <autoFilter ref="AB20:AF36" xr:uid="{00000000-0009-0000-0100-000018000000}"/>
  <tableColumns count="5">
    <tableColumn id="6" xr3:uid="{A773248A-463E-4E6D-9058-F4CD3B790558}" name="Allo Fuel" dataDxfId="146"/>
    <tableColumn id="1" xr3:uid="{00000000-0010-0000-1700-000001000000}" name="Elec Utility" dataDxfId="145"/>
    <tableColumn id="2" xr3:uid="{00000000-0010-0000-1700-000002000000}" name="Gas Utility" dataDxfId="144"/>
    <tableColumn id="3" xr3:uid="{00000000-0010-0000-1700-000003000000}" name="Allo Utility" dataDxfId="143"/>
    <tableColumn id="4" xr3:uid="{00000000-0010-0000-1700-000004000000}" name="Allo Funding" dataDxfId="14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Allocation_Gas" displayName="Allocation_Gas" ref="AB38:AF54" totalsRowShown="0" headerRowDxfId="141" dataDxfId="140">
  <autoFilter ref="AB38:AF54" xr:uid="{00000000-0009-0000-0100-000019000000}"/>
  <tableColumns count="5">
    <tableColumn id="6" xr3:uid="{29860E86-B288-4F2C-B0F2-5596A3282B1F}" name="Allo Fuel" dataDxfId="139"/>
    <tableColumn id="1" xr3:uid="{00000000-0010-0000-1800-000001000000}" name="Elec Utility" dataDxfId="138"/>
    <tableColumn id="2" xr3:uid="{00000000-0010-0000-1800-000002000000}" name="Gas Utility" dataDxfId="137"/>
    <tableColumn id="3" xr3:uid="{00000000-0010-0000-1800-000003000000}" name="Allo Utility" dataDxfId="136"/>
    <tableColumn id="4" xr3:uid="{00000000-0010-0000-1800-000004000000}" name="Allo Funding" dataDxfId="13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B903D3D-BFC6-4190-BA3B-6109E6BEFA22}" name="Utility_Type_Electric" displayName="Utility_Type_Electric" ref="G31:G34" totalsRowShown="0" headerRowDxfId="134" dataDxfId="133">
  <autoFilter ref="G31:G34" xr:uid="{DB903D3D-BFC6-4190-BA3B-6109E6BEFA22}"/>
  <tableColumns count="1">
    <tableColumn id="1" xr3:uid="{D97ED608-7BA5-4F26-A4E4-85DA8876884A}" name="Electric Utility Type" dataDxfId="13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7C396AF-C459-4872-8E01-184FA563365C}" name="Measure_Fuel" displayName="Measure_Fuel" ref="E35:E38" totalsRowShown="0" headerRowDxfId="131" dataDxfId="130">
  <autoFilter ref="E35:E38" xr:uid="{67C396AF-C459-4872-8E01-184FA563365C}"/>
  <tableColumns count="1">
    <tableColumn id="1" xr3:uid="{5793FC1C-703E-45E9-894B-F03DC4697E69}" name="Measure Fuel" dataDxfId="129"/>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6C6B320-CB47-41EF-A659-EC50DA1C175A}" name="EEMs_Categories_AP" displayName="EEMs_Categories_AP" ref="W1:W12" totalsRowShown="0" headerRowDxfId="128" dataDxfId="127">
  <autoFilter ref="W1:W12" xr:uid="{86C6B320-CB47-41EF-A659-EC50DA1C175A}"/>
  <tableColumns count="1">
    <tableColumn id="1" xr3:uid="{E74FB63F-11C1-4F49-B0D8-17EA6213FE40}" name="AP" dataDxfId="12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9FF8CE8-9805-4D1A-9906-62B05A418BDA}" name="EEMs_Categories_BE" displayName="EEMs_Categories_BE" ref="W15:W27" totalsRowShown="0" headerRowDxfId="125" dataDxfId="124">
  <autoFilter ref="W15:W27" xr:uid="{B9FF8CE8-9805-4D1A-9906-62B05A418BDA}"/>
  <tableColumns count="1">
    <tableColumn id="1" xr3:uid="{C2798169-605E-4CC4-967C-60B6DFA52D8C}" name="BE" dataDxfId="123"/>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A81A0CA-E72A-48C0-914A-F012AC21F555}" name="EEMs_Categories_DR" displayName="EEMs_Categories_DR" ref="W30:W31" totalsRowShown="0" headerRowDxfId="122" dataDxfId="121">
  <autoFilter ref="W30:W31" xr:uid="{DA81A0CA-E72A-48C0-914A-F012AC21F555}"/>
  <tableColumns count="1">
    <tableColumn id="1" xr3:uid="{C0B5BCE1-4A0A-4E73-A477-9ABF6C6C3B8E}" name="DR" dataDxfId="120"/>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B5C78DA-73FD-406A-9708-1A82D2D988C2}" name="EEMs_Categories_HV" displayName="EEMs_Categories_HV" ref="W34:W56" totalsRowShown="0" headerRowDxfId="119" dataDxfId="118">
  <autoFilter ref="W34:W56" xr:uid="{1B5C78DA-73FD-406A-9708-1A82D2D988C2}"/>
  <tableColumns count="1">
    <tableColumn id="1" xr3:uid="{6BACB591-97CB-43B5-853E-7C0D932438F7}" name="HV" dataDxfId="117"/>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30F3B89-818F-4B41-8537-CAD49BECD497}" name="EEMs_Categories_LI" displayName="EEMs_Categories_LI" ref="W59:W61" totalsRowShown="0" headerRowDxfId="116" dataDxfId="115">
  <autoFilter ref="W59:W61" xr:uid="{730F3B89-818F-4B41-8537-CAD49BECD497}"/>
  <tableColumns count="1">
    <tableColumn id="1" xr3:uid="{91BB58D4-D99D-44DE-B2F7-8EC192B05726}" name="LI" dataDxfId="114"/>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8257557-5D63-40C1-AEE6-7032019F3B16}" name="EEMs_Categories_OT" displayName="EEMs_Categories_OT" ref="W64:W67" totalsRowShown="0" headerRowDxfId="113" dataDxfId="112">
  <autoFilter ref="W64:W67" xr:uid="{E8257557-5D63-40C1-AEE6-7032019F3B16}"/>
  <tableColumns count="1">
    <tableColumn id="1" xr3:uid="{CA4DB62B-AC8E-462A-9C6B-CEFD579342B8}" name="OT" dataDxfId="111"/>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3889E6E-4182-4652-8CCD-7CB91875D8B2}" name="EEMs_Categories_PP" displayName="EEMs_Categories_PP" ref="W69:W72" totalsRowShown="0" headerRowDxfId="110" dataDxfId="109">
  <autoFilter ref="W69:W72" xr:uid="{33889E6E-4182-4652-8CCD-7CB91875D8B2}"/>
  <tableColumns count="1">
    <tableColumn id="1" xr3:uid="{8DFB5958-2F09-4E01-86FB-35F33956831F}" name="PP" dataDxfId="108"/>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5259273-4875-43DC-83EB-2D680219F69F}" name="EEMs_Categories_WH" displayName="EEMs_Categories_WH" ref="W75:W85" totalsRowShown="0" headerRowDxfId="107" dataDxfId="106">
  <autoFilter ref="W75:W85" xr:uid="{75259273-4875-43DC-83EB-2D680219F69F}"/>
  <tableColumns count="1">
    <tableColumn id="1" xr3:uid="{6800F7E1-E086-4759-92CD-F9E5038D743E}" name="WH" dataDxfId="105"/>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B960C2E-F41E-468E-8252-5E1D5E12D9F5}" name="Big_4_IOUs" displayName="Big_4_IOUs" ref="K50:K54" totalsRowShown="0" headerRowDxfId="104" dataDxfId="103">
  <autoFilter ref="K50:K54" xr:uid="{0B960C2E-F41E-468E-8252-5E1D5E12D9F5}"/>
  <tableColumns count="1">
    <tableColumn id="1" xr3:uid="{691DD56C-F4EB-40B8-A609-22D958DE04FB}" name="Big 4 IOUs" dataDxfId="102"/>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A32CC4B0-48C0-4D1B-860F-CE127358578F}" name="POUs" displayName="POUs" ref="K56:K67" totalsRowShown="0" headerRowDxfId="101" dataDxfId="100">
  <autoFilter ref="K56:K67" xr:uid="{A32CC4B0-48C0-4D1B-860F-CE127358578F}"/>
  <tableColumns count="1">
    <tableColumn id="1" xr3:uid="{083463FB-CEC1-46C5-97D9-4B1FBE70A1A8}" name="POUs" dataDxfId="99"/>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186FAF7-B24F-4BB5-8DC9-9CC8C118ECF4}" name="Utility_Type_Gas" displayName="Utility_Type_Gas" ref="G36:G40" totalsRowShown="0" headerRowDxfId="98" dataDxfId="97">
  <autoFilter ref="G36:G40" xr:uid="{8186FAF7-B24F-4BB5-8DC9-9CC8C118ECF4}"/>
  <tableColumns count="1">
    <tableColumn id="1" xr3:uid="{B93C9390-E70E-447A-978B-E29EC634BAB4}" name="Gas Utility Type" dataDxfId="96"/>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B686C3-4155-436B-ADCE-A43F54B5A01F}" name="Small_IOUs" displayName="Small_IOUs" ref="K69:K70" totalsRowShown="0" headerRowDxfId="95" dataDxfId="94">
  <autoFilter ref="K69:K70" xr:uid="{50B686C3-4155-436B-ADCE-A43F54B5A01F}"/>
  <tableColumns count="1">
    <tableColumn id="1" xr3:uid="{0CDD4494-CC89-414F-8D6B-288D7D654214}" name="Small IOUs" dataDxfId="93"/>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2C4D51F-663E-4F19-87EF-53DE84CB3FC1}" name="Table41" displayName="Table41" ref="B43:C45" totalsRowShown="0" headerRowDxfId="92" dataDxfId="91" tableBorderDxfId="90">
  <autoFilter ref="B43:C45" xr:uid="{C2C4D51F-663E-4F19-87EF-53DE84CB3FC1}"/>
  <tableColumns count="2">
    <tableColumn id="1" xr3:uid="{7756A8E3-532B-43EB-9952-0B5EBFF52616}" name="Credit Score" dataDxfId="89"/>
    <tableColumn id="2" xr3:uid="{B53C20F9-7547-43A4-B3BF-12352C1C5A4B}" name="Reserve %" dataDxfId="88"/>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B21DCD92-64F0-4965-B86D-6E700DEDE07F}" name="EEMs_Categories_CE" displayName="EEMs_Categories_CE" ref="W88:W90" totalsRowShown="0" headerRowDxfId="87" dataDxfId="86" tableBorderDxfId="85">
  <autoFilter ref="W88:W90" xr:uid="{B21DCD92-64F0-4965-B86D-6E700DEDE07F}"/>
  <tableColumns count="1">
    <tableColumn id="1" xr3:uid="{0477C8F8-327A-4985-A6BE-0D6FA5E41154}" name="CE" dataDxfId="84"/>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3D42EEA-700F-462E-8C62-E42BB66A92BE}" name="EEMs_Categories_TR" displayName="EEMs_Categories_TR" ref="W93:W94" totalsRowShown="0" headerRowDxfId="83" dataDxfId="82">
  <autoFilter ref="W93:W94" xr:uid="{B3D42EEA-700F-462E-8C62-E42BB66A92BE}"/>
  <tableColumns count="1">
    <tableColumn id="1" xr3:uid="{1E0EBC5E-404F-4997-BFFC-18C8E4BC7120}" name="TR" dataDxfId="81"/>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1B0BF35-5A0B-450E-837B-705B61C161D5}" name="Table44" displayName="Table44" ref="E41:E43" totalsRowShown="0" headerRowDxfId="80" dataDxfId="79">
  <autoFilter ref="E41:E43" xr:uid="{91B0BF35-5A0B-450E-837B-705B61C161D5}"/>
  <tableColumns count="1">
    <tableColumn id="1" xr3:uid="{86C06177-FDC6-45FF-920D-6B41DA4CD902}" name="Measure Heat Pump" dataDxfId="7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1" dT="2024-03-21T15:51:31.48" personId="{005D7F29-6790-4B61-81EC-01F2931C5295}" id="{43FBA148-33A6-4DD9-A54B-953E041A0BC7}">
    <text>Edited formula</text>
  </threadedComment>
</ThreadedComments>
</file>

<file path=xl/worksheets/_rels/sheet1.xml.rels><?xml version="1.0" encoding="UTF-8" standalone="yes"?>
<Relationships xmlns="http://schemas.openxmlformats.org/package/2006/relationships"><Relationship Id="rId2" Type="http://schemas.openxmlformats.org/officeDocument/2006/relationships/hyperlink" Target="https://www.treasurer.ca.gov/caeatfa/cheef/reel/resources/reel_eeemsList.pdf" TargetMode="External"/><Relationship Id="rId1" Type="http://schemas.openxmlformats.org/officeDocument/2006/relationships/hyperlink" Target="https://www.treasurer.ca.gov/caeatfa/cheef/reel/resources/reel_eeemsList.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3" Type="http://schemas.openxmlformats.org/officeDocument/2006/relationships/table" Target="../tables/table1.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2" Type="http://schemas.openxmlformats.org/officeDocument/2006/relationships/drawing" Target="../drawings/drawing4.xml"/><Relationship Id="rId16" Type="http://schemas.openxmlformats.org/officeDocument/2006/relationships/table" Target="../tables/table14.xml"/><Relationship Id="rId20" Type="http://schemas.openxmlformats.org/officeDocument/2006/relationships/table" Target="../tables/table18.xml"/><Relationship Id="rId29" Type="http://schemas.openxmlformats.org/officeDocument/2006/relationships/table" Target="../tables/table27.xml"/><Relationship Id="rId41" Type="http://schemas.openxmlformats.org/officeDocument/2006/relationships/table" Target="../tables/table39.xml"/><Relationship Id="rId1" Type="http://schemas.openxmlformats.org/officeDocument/2006/relationships/printerSettings" Target="../printerSettings/printerSettings5.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705BA-F958-4D8B-853C-25FB84296E8F}">
  <sheetPr>
    <tabColor rgb="FFFEF9D0"/>
  </sheetPr>
  <dimension ref="B1:L38"/>
  <sheetViews>
    <sheetView zoomScale="70" zoomScaleNormal="70" workbookViewId="0">
      <selection activeCell="R27" sqref="R27"/>
    </sheetView>
  </sheetViews>
  <sheetFormatPr defaultRowHeight="15" x14ac:dyDescent="0.25"/>
  <cols>
    <col min="10" max="10" width="17.42578125" customWidth="1"/>
    <col min="11" max="11" width="39.7109375" customWidth="1"/>
    <col min="12" max="12" width="32.140625" customWidth="1"/>
  </cols>
  <sheetData>
    <row r="1" spans="2:12" ht="15.75" thickBot="1" x14ac:dyDescent="0.3"/>
    <row r="2" spans="2:12" x14ac:dyDescent="0.25">
      <c r="B2" s="410" t="s">
        <v>740</v>
      </c>
      <c r="C2" s="411"/>
      <c r="D2" s="411"/>
      <c r="E2" s="411"/>
      <c r="F2" s="411"/>
      <c r="G2" s="411"/>
      <c r="H2" s="411"/>
      <c r="I2" s="411"/>
      <c r="J2" s="411"/>
      <c r="K2" s="412"/>
    </row>
    <row r="3" spans="2:12" ht="25.5" customHeight="1" thickBot="1" x14ac:dyDescent="0.3">
      <c r="B3" s="413"/>
      <c r="C3" s="414"/>
      <c r="D3" s="414"/>
      <c r="E3" s="414"/>
      <c r="F3" s="414"/>
      <c r="G3" s="414"/>
      <c r="H3" s="414"/>
      <c r="I3" s="414"/>
      <c r="J3" s="414"/>
      <c r="K3" s="415"/>
    </row>
    <row r="4" spans="2:12" x14ac:dyDescent="0.25">
      <c r="B4" s="416" t="s">
        <v>741</v>
      </c>
      <c r="C4" s="417"/>
      <c r="D4" s="417"/>
      <c r="E4" s="417"/>
      <c r="F4" s="417"/>
      <c r="G4" s="417"/>
      <c r="H4" s="417"/>
      <c r="I4" s="417"/>
      <c r="J4" s="417"/>
      <c r="K4" s="418"/>
    </row>
    <row r="5" spans="2:12" x14ac:dyDescent="0.25">
      <c r="B5" s="419"/>
      <c r="C5" s="420"/>
      <c r="D5" s="420"/>
      <c r="E5" s="420"/>
      <c r="F5" s="420"/>
      <c r="G5" s="420"/>
      <c r="H5" s="420"/>
      <c r="I5" s="420"/>
      <c r="J5" s="420"/>
      <c r="K5" s="421"/>
    </row>
    <row r="6" spans="2:12" x14ac:dyDescent="0.25">
      <c r="B6" s="422" t="s">
        <v>742</v>
      </c>
      <c r="C6" s="423"/>
      <c r="D6" s="423"/>
      <c r="E6" s="423"/>
      <c r="F6" s="423"/>
      <c r="G6" s="423"/>
      <c r="H6" s="423"/>
      <c r="I6" s="423"/>
      <c r="J6" s="423"/>
      <c r="K6" s="424"/>
    </row>
    <row r="7" spans="2:12" x14ac:dyDescent="0.25">
      <c r="B7" s="422"/>
      <c r="C7" s="423"/>
      <c r="D7" s="423"/>
      <c r="E7" s="423"/>
      <c r="F7" s="423"/>
      <c r="G7" s="423"/>
      <c r="H7" s="423"/>
      <c r="I7" s="423"/>
      <c r="J7" s="423"/>
      <c r="K7" s="424"/>
    </row>
    <row r="8" spans="2:12" x14ac:dyDescent="0.25">
      <c r="B8" s="422"/>
      <c r="C8" s="423"/>
      <c r="D8" s="423"/>
      <c r="E8" s="423"/>
      <c r="F8" s="423"/>
      <c r="G8" s="423"/>
      <c r="H8" s="423"/>
      <c r="I8" s="423"/>
      <c r="J8" s="423"/>
      <c r="K8" s="424"/>
    </row>
    <row r="9" spans="2:12" ht="149.1" customHeight="1" thickBot="1" x14ac:dyDescent="0.3">
      <c r="B9" s="422"/>
      <c r="C9" s="423"/>
      <c r="D9" s="423"/>
      <c r="E9" s="423"/>
      <c r="F9" s="423"/>
      <c r="G9" s="423"/>
      <c r="H9" s="423"/>
      <c r="I9" s="423"/>
      <c r="J9" s="423"/>
      <c r="K9" s="424"/>
    </row>
    <row r="10" spans="2:12" ht="36.950000000000003" customHeight="1" x14ac:dyDescent="0.25">
      <c r="B10" s="425" t="s">
        <v>784</v>
      </c>
      <c r="C10" s="426"/>
      <c r="D10" s="426"/>
      <c r="E10" s="426"/>
      <c r="F10" s="426"/>
      <c r="G10" s="426"/>
      <c r="H10" s="426"/>
      <c r="I10" s="426"/>
      <c r="J10" s="426"/>
      <c r="K10" s="427"/>
    </row>
    <row r="11" spans="2:12" x14ac:dyDescent="0.25">
      <c r="B11" s="428" t="s">
        <v>785</v>
      </c>
      <c r="C11" s="429"/>
      <c r="D11" s="429"/>
      <c r="E11" s="429"/>
      <c r="F11" s="429"/>
      <c r="G11" s="429"/>
      <c r="H11" s="429"/>
      <c r="I11" s="429"/>
      <c r="J11" s="429"/>
      <c r="K11" s="430"/>
    </row>
    <row r="12" spans="2:12" x14ac:dyDescent="0.25">
      <c r="B12" s="431"/>
      <c r="C12" s="432"/>
      <c r="D12" s="432"/>
      <c r="E12" s="432"/>
      <c r="F12" s="432"/>
      <c r="G12" s="432"/>
      <c r="H12" s="432"/>
      <c r="I12" s="432"/>
      <c r="J12" s="432"/>
      <c r="K12" s="433"/>
    </row>
    <row r="13" spans="2:12" x14ac:dyDescent="0.25">
      <c r="B13" s="431"/>
      <c r="C13" s="432"/>
      <c r="D13" s="432"/>
      <c r="E13" s="432"/>
      <c r="F13" s="432"/>
      <c r="G13" s="432"/>
      <c r="H13" s="432"/>
      <c r="I13" s="432"/>
      <c r="J13" s="432"/>
      <c r="K13" s="433"/>
      <c r="L13" s="403" t="s">
        <v>786</v>
      </c>
    </row>
    <row r="14" spans="2:12" ht="47.45" customHeight="1" x14ac:dyDescent="0.25">
      <c r="B14" s="431"/>
      <c r="C14" s="432"/>
      <c r="D14" s="432"/>
      <c r="E14" s="432"/>
      <c r="F14" s="432"/>
      <c r="G14" s="432"/>
      <c r="H14" s="432"/>
      <c r="I14" s="432"/>
      <c r="J14" s="432"/>
      <c r="K14" s="433"/>
      <c r="L14" s="403"/>
    </row>
    <row r="15" spans="2:12" x14ac:dyDescent="0.25">
      <c r="B15" s="431"/>
      <c r="C15" s="432"/>
      <c r="D15" s="432"/>
      <c r="E15" s="432"/>
      <c r="F15" s="432"/>
      <c r="G15" s="432"/>
      <c r="H15" s="432"/>
      <c r="I15" s="432"/>
      <c r="J15" s="432"/>
      <c r="K15" s="433"/>
    </row>
    <row r="16" spans="2:12" x14ac:dyDescent="0.25">
      <c r="B16" s="431"/>
      <c r="C16" s="432"/>
      <c r="D16" s="432"/>
      <c r="E16" s="432"/>
      <c r="F16" s="432"/>
      <c r="G16" s="432"/>
      <c r="H16" s="432"/>
      <c r="I16" s="432"/>
      <c r="J16" s="432"/>
      <c r="K16" s="433"/>
    </row>
    <row r="17" spans="2:11" x14ac:dyDescent="0.25">
      <c r="B17" s="431"/>
      <c r="C17" s="432"/>
      <c r="D17" s="432"/>
      <c r="E17" s="432"/>
      <c r="F17" s="432"/>
      <c r="G17" s="432"/>
      <c r="H17" s="432"/>
      <c r="I17" s="432"/>
      <c r="J17" s="432"/>
      <c r="K17" s="433"/>
    </row>
    <row r="18" spans="2:11" x14ac:dyDescent="0.25">
      <c r="B18" s="431"/>
      <c r="C18" s="432"/>
      <c r="D18" s="432"/>
      <c r="E18" s="432"/>
      <c r="F18" s="432"/>
      <c r="G18" s="432"/>
      <c r="H18" s="432"/>
      <c r="I18" s="432"/>
      <c r="J18" s="432"/>
      <c r="K18" s="433"/>
    </row>
    <row r="19" spans="2:11" x14ac:dyDescent="0.25">
      <c r="B19" s="431"/>
      <c r="C19" s="432"/>
      <c r="D19" s="432"/>
      <c r="E19" s="432"/>
      <c r="F19" s="432"/>
      <c r="G19" s="432"/>
      <c r="H19" s="432"/>
      <c r="I19" s="432"/>
      <c r="J19" s="432"/>
      <c r="K19" s="433"/>
    </row>
    <row r="20" spans="2:11" x14ac:dyDescent="0.25">
      <c r="B20" s="431"/>
      <c r="C20" s="432"/>
      <c r="D20" s="432"/>
      <c r="E20" s="432"/>
      <c r="F20" s="432"/>
      <c r="G20" s="432"/>
      <c r="H20" s="432"/>
      <c r="I20" s="432"/>
      <c r="J20" s="432"/>
      <c r="K20" s="433"/>
    </row>
    <row r="21" spans="2:11" x14ac:dyDescent="0.25">
      <c r="B21" s="431"/>
      <c r="C21" s="432"/>
      <c r="D21" s="432"/>
      <c r="E21" s="432"/>
      <c r="F21" s="432"/>
      <c r="G21" s="432"/>
      <c r="H21" s="432"/>
      <c r="I21" s="432"/>
      <c r="J21" s="432"/>
      <c r="K21" s="433"/>
    </row>
    <row r="22" spans="2:11" x14ac:dyDescent="0.25">
      <c r="B22" s="431"/>
      <c r="C22" s="432"/>
      <c r="D22" s="432"/>
      <c r="E22" s="432"/>
      <c r="F22" s="432"/>
      <c r="G22" s="432"/>
      <c r="H22" s="432"/>
      <c r="I22" s="432"/>
      <c r="J22" s="432"/>
      <c r="K22" s="433"/>
    </row>
    <row r="23" spans="2:11" x14ac:dyDescent="0.25">
      <c r="B23" s="431"/>
      <c r="C23" s="432"/>
      <c r="D23" s="432"/>
      <c r="E23" s="432"/>
      <c r="F23" s="432"/>
      <c r="G23" s="432"/>
      <c r="H23" s="432"/>
      <c r="I23" s="432"/>
      <c r="J23" s="432"/>
      <c r="K23" s="433"/>
    </row>
    <row r="24" spans="2:11" x14ac:dyDescent="0.25">
      <c r="B24" s="431"/>
      <c r="C24" s="432"/>
      <c r="D24" s="432"/>
      <c r="E24" s="432"/>
      <c r="F24" s="432"/>
      <c r="G24" s="432"/>
      <c r="H24" s="432"/>
      <c r="I24" s="432"/>
      <c r="J24" s="432"/>
      <c r="K24" s="433"/>
    </row>
    <row r="25" spans="2:11" x14ac:dyDescent="0.25">
      <c r="B25" s="431"/>
      <c r="C25" s="432"/>
      <c r="D25" s="432"/>
      <c r="E25" s="432"/>
      <c r="F25" s="432"/>
      <c r="G25" s="432"/>
      <c r="H25" s="432"/>
      <c r="I25" s="432"/>
      <c r="J25" s="432"/>
      <c r="K25" s="433"/>
    </row>
    <row r="26" spans="2:11" ht="291.60000000000002" customHeight="1" thickBot="1" x14ac:dyDescent="0.3">
      <c r="B26" s="434"/>
      <c r="C26" s="435"/>
      <c r="D26" s="435"/>
      <c r="E26" s="435"/>
      <c r="F26" s="435"/>
      <c r="G26" s="435"/>
      <c r="H26" s="435"/>
      <c r="I26" s="435"/>
      <c r="J26" s="435"/>
      <c r="K26" s="436"/>
    </row>
    <row r="27" spans="2:11" ht="45.75" customHeight="1" x14ac:dyDescent="0.25">
      <c r="B27" s="425" t="s">
        <v>905</v>
      </c>
      <c r="C27" s="426"/>
      <c r="D27" s="426"/>
      <c r="E27" s="426"/>
      <c r="F27" s="426"/>
      <c r="G27" s="426"/>
      <c r="H27" s="426"/>
      <c r="I27" s="426"/>
      <c r="J27" s="426"/>
      <c r="K27" s="427"/>
    </row>
    <row r="28" spans="2:11" ht="200.25" customHeight="1" thickBot="1" x14ac:dyDescent="0.3">
      <c r="B28" s="444" t="s">
        <v>906</v>
      </c>
      <c r="C28" s="435"/>
      <c r="D28" s="435"/>
      <c r="E28" s="435"/>
      <c r="F28" s="435"/>
      <c r="G28" s="435"/>
      <c r="H28" s="435"/>
      <c r="I28" s="435"/>
      <c r="J28" s="435"/>
      <c r="K28" s="436"/>
    </row>
    <row r="29" spans="2:11" ht="35.25" customHeight="1" x14ac:dyDescent="0.25">
      <c r="B29" s="416" t="s">
        <v>903</v>
      </c>
      <c r="C29" s="417"/>
      <c r="D29" s="417"/>
      <c r="E29" s="417"/>
      <c r="F29" s="417"/>
      <c r="G29" s="417"/>
      <c r="H29" s="417"/>
      <c r="I29" s="417"/>
      <c r="J29" s="417"/>
      <c r="K29" s="418"/>
    </row>
    <row r="30" spans="2:11" x14ac:dyDescent="0.25">
      <c r="B30" s="437" t="s">
        <v>743</v>
      </c>
      <c r="C30" s="438"/>
      <c r="D30" s="438"/>
      <c r="E30" s="438"/>
      <c r="F30" s="438"/>
      <c r="G30" s="438"/>
      <c r="H30" s="438"/>
      <c r="I30" s="438"/>
      <c r="J30" s="438"/>
      <c r="K30" s="439"/>
    </row>
    <row r="31" spans="2:11" ht="50.45" customHeight="1" x14ac:dyDescent="0.25">
      <c r="B31" s="440"/>
      <c r="C31" s="438"/>
      <c r="D31" s="438"/>
      <c r="E31" s="438"/>
      <c r="F31" s="438"/>
      <c r="G31" s="438"/>
      <c r="H31" s="438"/>
      <c r="I31" s="438"/>
      <c r="J31" s="438"/>
      <c r="K31" s="439"/>
    </row>
    <row r="32" spans="2:11" ht="139.5" customHeight="1" thickBot="1" x14ac:dyDescent="0.3">
      <c r="B32" s="441"/>
      <c r="C32" s="442"/>
      <c r="D32" s="442"/>
      <c r="E32" s="442"/>
      <c r="F32" s="442"/>
      <c r="G32" s="442"/>
      <c r="H32" s="442"/>
      <c r="I32" s="442"/>
      <c r="J32" s="442"/>
      <c r="K32" s="443"/>
    </row>
    <row r="33" spans="2:11" ht="36.75" customHeight="1" x14ac:dyDescent="0.25">
      <c r="B33" s="425" t="s">
        <v>744</v>
      </c>
      <c r="C33" s="426"/>
      <c r="D33" s="426"/>
      <c r="E33" s="426"/>
      <c r="F33" s="426"/>
      <c r="G33" s="426"/>
      <c r="H33" s="426"/>
      <c r="I33" s="426"/>
      <c r="J33" s="426"/>
      <c r="K33" s="427"/>
    </row>
    <row r="34" spans="2:11" ht="82.5" customHeight="1" x14ac:dyDescent="0.25">
      <c r="B34" s="404" t="s">
        <v>745</v>
      </c>
      <c r="C34" s="405"/>
      <c r="D34" s="405"/>
      <c r="E34" s="405"/>
      <c r="F34" s="405"/>
      <c r="G34" s="405"/>
      <c r="H34" s="405"/>
      <c r="I34" s="405"/>
      <c r="J34" s="405"/>
      <c r="K34" s="406"/>
    </row>
    <row r="35" spans="2:11" ht="13.5" customHeight="1" thickBot="1" x14ac:dyDescent="0.3">
      <c r="B35" s="407"/>
      <c r="C35" s="408"/>
      <c r="D35" s="408"/>
      <c r="E35" s="408"/>
      <c r="F35" s="408"/>
      <c r="G35" s="408"/>
      <c r="H35" s="408"/>
      <c r="I35" s="408"/>
      <c r="J35" s="408"/>
      <c r="K35" s="409"/>
    </row>
    <row r="38" spans="2:11" ht="34.5" customHeight="1" x14ac:dyDescent="0.25"/>
  </sheetData>
  <sheetProtection sheet="1" objects="1" scenarios="1"/>
  <mergeCells count="12">
    <mergeCell ref="L13:L14"/>
    <mergeCell ref="B34:K35"/>
    <mergeCell ref="B2:K3"/>
    <mergeCell ref="B4:K5"/>
    <mergeCell ref="B6:K9"/>
    <mergeCell ref="B10:K10"/>
    <mergeCell ref="B11:K26"/>
    <mergeCell ref="B29:K29"/>
    <mergeCell ref="B30:K32"/>
    <mergeCell ref="B33:K33"/>
    <mergeCell ref="B27:K27"/>
    <mergeCell ref="B28:K28"/>
  </mergeCells>
  <hyperlinks>
    <hyperlink ref="L13" r:id="rId1" display="Click here for the EEEMs list!" xr:uid="{875DA28F-B1E0-4BE0-B866-445C417BA929}"/>
    <hyperlink ref="L13:L14" r:id="rId2" display="Click here for the EEMs list!" xr:uid="{0B34D491-3C65-43CA-B3ED-A6300F875F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FF00"/>
  </sheetPr>
  <dimension ref="A1:Y50"/>
  <sheetViews>
    <sheetView tabSelected="1" zoomScale="98" zoomScaleNormal="98" workbookViewId="0">
      <selection activeCell="U7" sqref="U7"/>
    </sheetView>
  </sheetViews>
  <sheetFormatPr defaultColWidth="8.85546875" defaultRowHeight="15" x14ac:dyDescent="0.25"/>
  <cols>
    <col min="1" max="1" width="4.5703125" style="1" customWidth="1"/>
    <col min="2" max="2" width="6.42578125" style="1" customWidth="1"/>
    <col min="3" max="3" width="2.42578125" style="1" customWidth="1"/>
    <col min="4" max="4" width="13.42578125" style="1" customWidth="1"/>
    <col min="5" max="5" width="19.42578125" style="1" customWidth="1"/>
    <col min="6" max="6" width="11.42578125" style="1" bestFit="1" customWidth="1"/>
    <col min="7" max="7" width="10.42578125" style="1" customWidth="1"/>
    <col min="8" max="8" width="23.5703125" style="1" customWidth="1"/>
    <col min="9" max="9" width="7.28515625" style="1" customWidth="1"/>
    <col min="10" max="10" width="15.140625" style="1" customWidth="1"/>
    <col min="11" max="11" width="29.5703125" style="1" customWidth="1"/>
    <col min="12" max="12" width="9" style="82" customWidth="1"/>
    <col min="13" max="13" width="9" style="82" hidden="1" customWidth="1"/>
    <col min="14" max="16" width="9.140625" style="82" hidden="1" customWidth="1"/>
    <col min="17" max="17" width="10.42578125" style="82" hidden="1" customWidth="1"/>
    <col min="18" max="18" width="19.140625" style="24" hidden="1" customWidth="1"/>
    <col min="19" max="19" width="9.140625" style="6"/>
    <col min="24" max="24" width="13.42578125" customWidth="1"/>
  </cols>
  <sheetData>
    <row r="1" spans="1:25" s="1" customFormat="1" ht="15" customHeight="1" x14ac:dyDescent="0.25">
      <c r="A1" s="63"/>
      <c r="B1" s="23"/>
      <c r="C1" s="64"/>
      <c r="D1" s="64"/>
      <c r="E1" s="65"/>
      <c r="F1" s="464" t="s">
        <v>0</v>
      </c>
      <c r="G1" s="465"/>
      <c r="H1" s="469" t="s">
        <v>1</v>
      </c>
      <c r="I1" s="469"/>
      <c r="J1" s="469"/>
      <c r="K1" s="259" t="str">
        <f>IF(Lender_Program_ID="","",Lender_Program_ID)</f>
        <v/>
      </c>
      <c r="L1" s="82"/>
      <c r="M1" s="82"/>
      <c r="N1" s="82"/>
      <c r="O1" s="82"/>
      <c r="P1" s="82"/>
      <c r="Q1" s="82"/>
      <c r="R1" s="24"/>
      <c r="S1" s="6"/>
      <c r="T1"/>
      <c r="U1"/>
    </row>
    <row r="2" spans="1:25" s="1" customFormat="1" ht="15" customHeight="1" thickBot="1" x14ac:dyDescent="0.3">
      <c r="A2" s="63"/>
      <c r="B2" s="64"/>
      <c r="C2" s="64"/>
      <c r="D2" s="64"/>
      <c r="E2" s="66"/>
      <c r="F2" s="466"/>
      <c r="G2" s="467"/>
      <c r="H2" s="472" t="s">
        <v>2</v>
      </c>
      <c r="I2" s="472"/>
      <c r="J2" s="472"/>
      <c r="K2" s="260" t="str">
        <f>IF(Lender_Internal_Loan_ID="","",Lender_Internal_Loan_ID)</f>
        <v/>
      </c>
      <c r="L2" s="82"/>
      <c r="M2" s="82"/>
      <c r="N2" s="82"/>
      <c r="O2" s="82"/>
      <c r="P2" s="82"/>
      <c r="Q2" s="82"/>
      <c r="R2" s="24"/>
      <c r="S2" s="6"/>
      <c r="T2"/>
      <c r="U2"/>
    </row>
    <row r="3" spans="1:25" s="1" customFormat="1" ht="15" hidden="1" customHeight="1" thickBot="1" x14ac:dyDescent="0.3">
      <c r="A3" s="63"/>
      <c r="B3" s="64"/>
      <c r="C3" s="64"/>
      <c r="D3" s="64"/>
      <c r="E3" s="66"/>
      <c r="F3" s="23"/>
      <c r="G3" s="473" t="s">
        <v>3</v>
      </c>
      <c r="H3" s="474"/>
      <c r="I3" s="474"/>
      <c r="J3" s="474"/>
      <c r="K3" s="81">
        <f>IF(Program_ID_Number="","",Program_ID_Number)</f>
        <v>1220</v>
      </c>
      <c r="L3" s="82"/>
      <c r="M3" s="82"/>
      <c r="N3" s="82"/>
      <c r="O3" s="82"/>
      <c r="P3" s="82"/>
      <c r="Q3" s="82"/>
      <c r="R3" s="24"/>
      <c r="S3" s="6"/>
      <c r="T3"/>
      <c r="U3"/>
    </row>
    <row r="4" spans="1:25" ht="14.45" customHeight="1" x14ac:dyDescent="0.25">
      <c r="A4" s="63"/>
      <c r="B4" s="23"/>
      <c r="C4" s="64"/>
      <c r="D4" s="64"/>
      <c r="E4" s="24"/>
      <c r="F4" s="24"/>
      <c r="G4" s="24"/>
      <c r="H4" s="24"/>
      <c r="I4" s="24"/>
      <c r="J4" s="24"/>
      <c r="K4" s="67"/>
    </row>
    <row r="5" spans="1:25" ht="18.75" customHeight="1" thickBot="1" x14ac:dyDescent="0.3">
      <c r="A5" s="63"/>
      <c r="B5" s="24"/>
      <c r="C5" s="24"/>
      <c r="D5" s="24"/>
      <c r="E5" s="475" t="s">
        <v>915</v>
      </c>
      <c r="F5" s="475"/>
      <c r="G5" s="475"/>
      <c r="H5" s="475"/>
      <c r="I5" s="475"/>
      <c r="J5" s="475"/>
      <c r="K5" s="24"/>
    </row>
    <row r="6" spans="1:25" ht="19.5" customHeight="1" x14ac:dyDescent="0.25">
      <c r="A6" s="63"/>
      <c r="B6" s="477" t="s">
        <v>4</v>
      </c>
      <c r="C6" s="478"/>
      <c r="D6" s="478"/>
      <c r="E6" s="478"/>
      <c r="F6" s="478"/>
      <c r="G6" s="478"/>
      <c r="H6" s="478"/>
      <c r="I6" s="478"/>
      <c r="J6" s="478"/>
      <c r="K6" s="479"/>
      <c r="T6" s="381"/>
      <c r="U6" s="381"/>
      <c r="V6" s="381"/>
      <c r="W6" s="381"/>
      <c r="X6" s="381"/>
    </row>
    <row r="7" spans="1:25" ht="32.450000000000003" customHeight="1" x14ac:dyDescent="0.25">
      <c r="A7" s="63"/>
      <c r="B7" s="470" t="s">
        <v>5</v>
      </c>
      <c r="C7" s="471"/>
      <c r="D7" s="471"/>
      <c r="E7" s="476"/>
      <c r="F7" s="476"/>
      <c r="G7" s="476"/>
      <c r="H7" s="392" t="s">
        <v>6</v>
      </c>
      <c r="I7" s="489"/>
      <c r="J7" s="489"/>
      <c r="K7" s="490"/>
      <c r="N7" s="468" t="s">
        <v>7</v>
      </c>
      <c r="T7" s="381"/>
      <c r="U7" s="381"/>
      <c r="V7" s="381"/>
      <c r="W7" s="381"/>
      <c r="X7" s="381"/>
    </row>
    <row r="8" spans="1:25" ht="20.100000000000001" customHeight="1" x14ac:dyDescent="0.25">
      <c r="A8" s="63"/>
      <c r="B8" s="470" t="s">
        <v>8</v>
      </c>
      <c r="C8" s="471"/>
      <c r="D8" s="471"/>
      <c r="E8" s="476"/>
      <c r="F8" s="476"/>
      <c r="G8" s="476"/>
      <c r="H8" s="392" t="s">
        <v>9</v>
      </c>
      <c r="I8" s="489"/>
      <c r="J8" s="489"/>
      <c r="K8" s="490"/>
      <c r="N8" s="468"/>
      <c r="S8" s="402"/>
      <c r="T8" s="402"/>
      <c r="U8" s="402"/>
      <c r="V8" s="402"/>
      <c r="W8" s="402"/>
      <c r="X8" s="402"/>
      <c r="Y8" s="402"/>
    </row>
    <row r="9" spans="1:25" ht="17.25" customHeight="1" x14ac:dyDescent="0.25">
      <c r="B9" s="480"/>
      <c r="C9" s="481"/>
      <c r="D9" s="481"/>
      <c r="E9" s="481"/>
      <c r="F9" s="481"/>
      <c r="G9" s="482"/>
      <c r="H9" s="392" t="s">
        <v>10</v>
      </c>
      <c r="I9" s="492"/>
      <c r="J9" s="493"/>
      <c r="K9" s="352"/>
      <c r="N9" s="468"/>
      <c r="S9" s="402"/>
      <c r="T9" s="402"/>
      <c r="U9" s="402"/>
      <c r="V9" s="402"/>
      <c r="W9" s="402"/>
      <c r="X9" s="402"/>
      <c r="Y9" s="402"/>
    </row>
    <row r="10" spans="1:25" ht="17.25" customHeight="1" x14ac:dyDescent="0.25">
      <c r="B10" s="483"/>
      <c r="C10" s="484"/>
      <c r="D10" s="484"/>
      <c r="E10" s="484"/>
      <c r="F10" s="484"/>
      <c r="G10" s="485"/>
      <c r="H10" s="392" t="s">
        <v>11</v>
      </c>
      <c r="I10" s="491" t="str">
        <f>IF(Project_State="","",Project_State)</f>
        <v>CA</v>
      </c>
      <c r="J10" s="491"/>
      <c r="K10" s="351"/>
      <c r="N10" s="261">
        <v>2</v>
      </c>
      <c r="S10" s="402"/>
      <c r="T10" s="402"/>
      <c r="U10" s="402"/>
      <c r="V10" s="402"/>
      <c r="W10" s="402"/>
      <c r="X10" s="402"/>
      <c r="Y10" s="402"/>
    </row>
    <row r="11" spans="1:25" ht="17.25" customHeight="1" thickBot="1" x14ac:dyDescent="0.3">
      <c r="B11" s="486"/>
      <c r="C11" s="487"/>
      <c r="D11" s="487"/>
      <c r="E11" s="487"/>
      <c r="F11" s="487"/>
      <c r="G11" s="488"/>
      <c r="H11" s="393" t="s">
        <v>12</v>
      </c>
      <c r="I11" s="461"/>
      <c r="J11" s="462"/>
      <c r="K11" s="353"/>
      <c r="S11" s="402"/>
      <c r="T11" s="402"/>
      <c r="U11" s="402"/>
      <c r="V11" s="402"/>
      <c r="W11" s="402"/>
      <c r="X11" s="402"/>
      <c r="Y11" s="402"/>
    </row>
    <row r="12" spans="1:25" s="6" customFormat="1" ht="24" customHeight="1" thickTop="1" thickBot="1" x14ac:dyDescent="0.3">
      <c r="A12" s="7"/>
      <c r="B12" s="445" t="s">
        <v>867</v>
      </c>
      <c r="C12" s="446"/>
      <c r="D12" s="446"/>
      <c r="E12" s="446"/>
      <c r="F12" s="446"/>
      <c r="G12" s="446"/>
      <c r="H12" s="446"/>
      <c r="I12" s="446"/>
      <c r="J12" s="446"/>
      <c r="K12" s="447"/>
      <c r="L12" s="82"/>
      <c r="M12" s="82"/>
      <c r="N12" s="82"/>
      <c r="O12" s="82"/>
      <c r="P12" s="82"/>
      <c r="Q12" s="82"/>
      <c r="R12" s="24"/>
      <c r="S12" s="402"/>
      <c r="T12" s="402"/>
      <c r="U12" s="402"/>
      <c r="V12" s="402"/>
      <c r="W12" s="402"/>
      <c r="X12" s="402"/>
      <c r="Y12" s="402"/>
    </row>
    <row r="13" spans="1:25" ht="144.75" customHeight="1" thickBot="1" x14ac:dyDescent="0.3">
      <c r="B13" s="458" t="s">
        <v>783</v>
      </c>
      <c r="C13" s="459"/>
      <c r="D13" s="460"/>
      <c r="E13" s="457" t="s">
        <v>782</v>
      </c>
      <c r="F13" s="457"/>
      <c r="G13" s="457"/>
      <c r="H13" s="463" t="s">
        <v>748</v>
      </c>
      <c r="I13" s="460"/>
      <c r="J13" s="394" t="s">
        <v>749</v>
      </c>
      <c r="K13" s="395" t="s">
        <v>787</v>
      </c>
      <c r="O13" s="82" t="s">
        <v>13</v>
      </c>
      <c r="R13" s="83" t="s">
        <v>805</v>
      </c>
      <c r="S13" s="402"/>
      <c r="T13" s="402"/>
      <c r="U13" s="402"/>
      <c r="V13" s="402"/>
      <c r="W13" s="402"/>
      <c r="X13" s="402"/>
      <c r="Y13" s="402"/>
    </row>
    <row r="14" spans="1:25" ht="33.75" customHeight="1" thickBot="1" x14ac:dyDescent="0.3">
      <c r="A14" s="4"/>
      <c r="B14" s="335"/>
      <c r="C14" s="336" t="s">
        <v>15</v>
      </c>
      <c r="D14" s="337"/>
      <c r="E14" s="453"/>
      <c r="F14" s="453"/>
      <c r="G14" s="453"/>
      <c r="H14" s="454" t="s">
        <v>17</v>
      </c>
      <c r="I14" s="455"/>
      <c r="J14" s="338"/>
      <c r="K14" s="339"/>
      <c r="O14" s="82" t="str">
        <f>IF(H14="Yes","Yes","No")</f>
        <v>No</v>
      </c>
      <c r="R14" s="84" t="str">
        <f>IF(OR(ISBLANK(B14),ISBLANK(D14)),"",UPPER(CONCATENATE(B14,"-",D14)))</f>
        <v/>
      </c>
    </row>
    <row r="15" spans="1:25" ht="33.75" customHeight="1" thickBot="1" x14ac:dyDescent="0.3">
      <c r="A15" s="4"/>
      <c r="B15" s="340"/>
      <c r="C15" s="341" t="s">
        <v>15</v>
      </c>
      <c r="D15" s="342"/>
      <c r="E15" s="453"/>
      <c r="F15" s="453"/>
      <c r="G15" s="453"/>
      <c r="H15" s="454" t="s">
        <v>17</v>
      </c>
      <c r="I15" s="455"/>
      <c r="J15" s="343"/>
      <c r="K15" s="344"/>
      <c r="O15" s="82" t="str">
        <f t="shared" ref="O15:O21" si="0">IF(H15="Yes","Yes","No")</f>
        <v>No</v>
      </c>
      <c r="R15" s="84" t="str">
        <f t="shared" ref="R15:R19" si="1">IF(OR(ISBLANK(B15),ISBLANK(D15)),"",UPPER(CONCATENATE(B15,"-",D15)))</f>
        <v/>
      </c>
    </row>
    <row r="16" spans="1:25" ht="35.25" customHeight="1" thickBot="1" x14ac:dyDescent="0.3">
      <c r="B16" s="340"/>
      <c r="C16" s="341" t="s">
        <v>15</v>
      </c>
      <c r="D16" s="342"/>
      <c r="E16" s="453"/>
      <c r="F16" s="453"/>
      <c r="G16" s="453"/>
      <c r="H16" s="454" t="s">
        <v>17</v>
      </c>
      <c r="I16" s="455"/>
      <c r="J16" s="343"/>
      <c r="K16" s="344"/>
      <c r="O16" s="82" t="str">
        <f t="shared" si="0"/>
        <v>No</v>
      </c>
      <c r="R16" s="84" t="str">
        <f t="shared" si="1"/>
        <v/>
      </c>
    </row>
    <row r="17" spans="1:18" ht="35.25" customHeight="1" thickBot="1" x14ac:dyDescent="0.3">
      <c r="B17" s="340"/>
      <c r="C17" s="341" t="s">
        <v>15</v>
      </c>
      <c r="D17" s="342"/>
      <c r="E17" s="456"/>
      <c r="F17" s="456"/>
      <c r="G17" s="456"/>
      <c r="H17" s="454" t="s">
        <v>17</v>
      </c>
      <c r="I17" s="455"/>
      <c r="J17" s="343"/>
      <c r="K17" s="344"/>
      <c r="O17" s="82" t="str">
        <f t="shared" si="0"/>
        <v>No</v>
      </c>
      <c r="R17" s="84" t="str">
        <f t="shared" si="1"/>
        <v/>
      </c>
    </row>
    <row r="18" spans="1:18" ht="34.5" customHeight="1" thickBot="1" x14ac:dyDescent="0.3">
      <c r="B18" s="340"/>
      <c r="C18" s="341" t="s">
        <v>15</v>
      </c>
      <c r="D18" s="342"/>
      <c r="E18" s="456"/>
      <c r="F18" s="456"/>
      <c r="G18" s="456"/>
      <c r="H18" s="454" t="s">
        <v>17</v>
      </c>
      <c r="I18" s="455"/>
      <c r="J18" s="343"/>
      <c r="K18" s="344"/>
      <c r="O18" s="82" t="str">
        <f t="shared" si="0"/>
        <v>No</v>
      </c>
      <c r="R18" s="84" t="str">
        <f t="shared" si="1"/>
        <v/>
      </c>
    </row>
    <row r="19" spans="1:18" ht="34.5" customHeight="1" thickBot="1" x14ac:dyDescent="0.3">
      <c r="B19" s="340"/>
      <c r="C19" s="341" t="s">
        <v>15</v>
      </c>
      <c r="D19" s="342"/>
      <c r="E19" s="456"/>
      <c r="F19" s="456"/>
      <c r="G19" s="456"/>
      <c r="H19" s="454" t="s">
        <v>17</v>
      </c>
      <c r="I19" s="455"/>
      <c r="J19" s="345"/>
      <c r="K19" s="346"/>
      <c r="O19" s="82" t="str">
        <f t="shared" si="0"/>
        <v>No</v>
      </c>
      <c r="R19" s="84" t="str">
        <f t="shared" si="1"/>
        <v/>
      </c>
    </row>
    <row r="20" spans="1:18" ht="34.5" customHeight="1" thickBot="1" x14ac:dyDescent="0.3">
      <c r="B20" s="340"/>
      <c r="C20" s="341" t="s">
        <v>15</v>
      </c>
      <c r="D20" s="342"/>
      <c r="E20" s="456"/>
      <c r="F20" s="456"/>
      <c r="G20" s="456"/>
      <c r="H20" s="454" t="s">
        <v>17</v>
      </c>
      <c r="I20" s="455"/>
      <c r="J20" s="343"/>
      <c r="K20" s="344"/>
      <c r="O20" s="82" t="str">
        <f t="shared" si="0"/>
        <v>No</v>
      </c>
      <c r="R20" s="84" t="str">
        <f>IF(OR(ISBLANK(B20),ISBLANK(D20)),"",UPPER(CONCATENATE(B20,"-",D20)))</f>
        <v/>
      </c>
    </row>
    <row r="21" spans="1:18" ht="34.5" customHeight="1" thickBot="1" x14ac:dyDescent="0.3">
      <c r="B21" s="340"/>
      <c r="C21" s="341" t="s">
        <v>15</v>
      </c>
      <c r="D21" s="342"/>
      <c r="E21" s="456"/>
      <c r="F21" s="456"/>
      <c r="G21" s="456"/>
      <c r="H21" s="454" t="s">
        <v>17</v>
      </c>
      <c r="I21" s="455"/>
      <c r="J21" s="343"/>
      <c r="K21" s="344"/>
      <c r="O21" s="82" t="str">
        <f t="shared" si="0"/>
        <v>No</v>
      </c>
      <c r="R21" s="84" t="str">
        <f>IF(OR(ISBLANK(B21),ISBLANK(D21)),"",UPPER(CONCATENATE(B21,"-",D21)))</f>
        <v/>
      </c>
    </row>
    <row r="22" spans="1:18" ht="34.5" customHeight="1" thickBot="1" x14ac:dyDescent="0.3">
      <c r="B22" s="340"/>
      <c r="C22" s="341" t="s">
        <v>15</v>
      </c>
      <c r="D22" s="342"/>
      <c r="E22" s="456"/>
      <c r="F22" s="456"/>
      <c r="G22" s="456"/>
      <c r="H22" s="454" t="s">
        <v>17</v>
      </c>
      <c r="I22" s="455"/>
      <c r="J22" s="343"/>
      <c r="K22" s="344"/>
      <c r="O22" s="82" t="str">
        <f t="shared" ref="O22:O23" si="2">IF(H22="Yes","Yes","No")</f>
        <v>No</v>
      </c>
      <c r="R22" s="84" t="str">
        <f>IF(OR(ISBLANK(B22),ISBLANK(D22)),"",UPPER(CONCATENATE(B22,"-",D22)))</f>
        <v/>
      </c>
    </row>
    <row r="23" spans="1:18" ht="34.5" customHeight="1" thickBot="1" x14ac:dyDescent="0.3">
      <c r="B23" s="340"/>
      <c r="C23" s="341" t="s">
        <v>15</v>
      </c>
      <c r="D23" s="342"/>
      <c r="E23" s="456"/>
      <c r="F23" s="456"/>
      <c r="G23" s="456"/>
      <c r="H23" s="454" t="s">
        <v>17</v>
      </c>
      <c r="I23" s="455"/>
      <c r="J23" s="343"/>
      <c r="K23" s="344"/>
      <c r="O23" s="82" t="str">
        <f t="shared" si="2"/>
        <v>No</v>
      </c>
      <c r="R23" s="117" t="str">
        <f t="shared" ref="R23" si="3">IF(OR(ISBLANK(B23),ISBLANK(D23)),"",UPPER(CONCATENATE(B23,"-",D23)))</f>
        <v/>
      </c>
    </row>
    <row r="24" spans="1:18" s="6" customFormat="1" ht="31.5" x14ac:dyDescent="0.25">
      <c r="B24" s="509" t="s">
        <v>788</v>
      </c>
      <c r="C24" s="510"/>
      <c r="D24" s="510"/>
      <c r="E24" s="511"/>
      <c r="F24" s="511"/>
      <c r="G24" s="511"/>
      <c r="H24" s="511"/>
      <c r="I24" s="511"/>
      <c r="J24" s="511"/>
      <c r="K24" s="396" t="s">
        <v>750</v>
      </c>
      <c r="L24" s="85"/>
      <c r="M24" s="82"/>
      <c r="N24" s="82"/>
      <c r="O24" s="82"/>
      <c r="P24" s="82"/>
      <c r="Q24" s="82"/>
      <c r="R24" s="24"/>
    </row>
    <row r="25" spans="1:18" ht="42" customHeight="1" x14ac:dyDescent="0.25">
      <c r="A25"/>
      <c r="B25" s="507"/>
      <c r="C25" s="500"/>
      <c r="D25" s="500"/>
      <c r="E25" s="508"/>
      <c r="F25" s="508"/>
      <c r="G25" s="508"/>
      <c r="H25" s="508"/>
      <c r="I25" s="508"/>
      <c r="J25" s="508"/>
      <c r="K25" s="347"/>
    </row>
    <row r="26" spans="1:18" s="6" customFormat="1" ht="31.5" customHeight="1" x14ac:dyDescent="0.25">
      <c r="B26" s="448" t="s">
        <v>789</v>
      </c>
      <c r="C26" s="449"/>
      <c r="D26" s="449"/>
      <c r="E26" s="449"/>
      <c r="F26" s="449"/>
      <c r="G26" s="449"/>
      <c r="H26" s="449"/>
      <c r="I26" s="449"/>
      <c r="J26" s="450"/>
      <c r="K26" s="391">
        <f>SUM(K12:K23)+Legal_Practical_Cost</f>
        <v>0</v>
      </c>
      <c r="L26" s="82"/>
      <c r="M26" s="82"/>
      <c r="N26" s="82"/>
      <c r="O26" s="82"/>
      <c r="P26" s="82"/>
      <c r="Q26" s="82"/>
      <c r="R26" s="24"/>
    </row>
    <row r="27" spans="1:18" ht="28.5" customHeight="1" thickBot="1" x14ac:dyDescent="0.4">
      <c r="A27"/>
      <c r="B27" s="514" t="s">
        <v>918</v>
      </c>
      <c r="C27" s="515"/>
      <c r="D27" s="515"/>
      <c r="E27" s="515"/>
      <c r="F27" s="515"/>
      <c r="G27" s="515"/>
      <c r="H27" s="399" t="s">
        <v>25</v>
      </c>
      <c r="I27" s="516" t="s">
        <v>919</v>
      </c>
      <c r="J27" s="517"/>
      <c r="K27" s="401"/>
    </row>
    <row r="28" spans="1:18" ht="28.5" customHeight="1" x14ac:dyDescent="0.25">
      <c r="A28"/>
      <c r="B28" s="445" t="s">
        <v>904</v>
      </c>
      <c r="C28" s="446"/>
      <c r="D28" s="446"/>
      <c r="E28" s="446"/>
      <c r="F28" s="446"/>
      <c r="G28" s="446"/>
      <c r="H28" s="446"/>
      <c r="I28" s="446"/>
      <c r="J28" s="446"/>
      <c r="K28" s="447"/>
    </row>
    <row r="29" spans="1:18" ht="35.450000000000003" customHeight="1" thickBot="1" x14ac:dyDescent="0.3">
      <c r="A29"/>
      <c r="B29" s="448" t="s">
        <v>868</v>
      </c>
      <c r="C29" s="449"/>
      <c r="D29" s="449"/>
      <c r="E29" s="449"/>
      <c r="F29" s="449"/>
      <c r="G29" s="449"/>
      <c r="H29" s="450"/>
      <c r="I29" s="451" t="s">
        <v>25</v>
      </c>
      <c r="J29" s="452"/>
      <c r="K29" s="400"/>
      <c r="M29" s="82" t="str">
        <f>IF(I29="Yes","Yes","No")</f>
        <v>No</v>
      </c>
    </row>
    <row r="30" spans="1:18" ht="20.25" customHeight="1" thickTop="1" x14ac:dyDescent="0.25">
      <c r="B30" s="501" t="s">
        <v>26</v>
      </c>
      <c r="C30" s="502"/>
      <c r="D30" s="502"/>
      <c r="E30" s="502"/>
      <c r="F30" s="502"/>
      <c r="G30" s="502"/>
      <c r="H30" s="502"/>
      <c r="I30" s="502"/>
      <c r="J30" s="502"/>
      <c r="K30" s="503"/>
    </row>
    <row r="31" spans="1:18" ht="30.6" customHeight="1" x14ac:dyDescent="0.25">
      <c r="B31" s="448" t="s">
        <v>806</v>
      </c>
      <c r="C31" s="449"/>
      <c r="D31" s="449"/>
      <c r="E31" s="449"/>
      <c r="F31" s="449"/>
      <c r="G31" s="449"/>
      <c r="H31" s="449"/>
      <c r="I31" s="449"/>
      <c r="J31" s="450"/>
      <c r="K31" s="397" t="s">
        <v>751</v>
      </c>
      <c r="L31" s="86"/>
    </row>
    <row r="32" spans="1:18" ht="44.45" customHeight="1" thickBot="1" x14ac:dyDescent="0.3">
      <c r="A32" s="7"/>
      <c r="B32" s="498"/>
      <c r="C32" s="499"/>
      <c r="D32" s="499"/>
      <c r="E32" s="499"/>
      <c r="F32" s="499"/>
      <c r="G32" s="499"/>
      <c r="H32" s="499"/>
      <c r="I32" s="499"/>
      <c r="J32" s="500"/>
      <c r="K32" s="348"/>
      <c r="L32" s="86"/>
    </row>
    <row r="33" spans="1:13" ht="18.75" customHeight="1" thickBot="1" x14ac:dyDescent="0.3">
      <c r="B33" s="504" t="s">
        <v>752</v>
      </c>
      <c r="C33" s="505"/>
      <c r="D33" s="505"/>
      <c r="E33" s="505"/>
      <c r="F33" s="505"/>
      <c r="G33" s="505"/>
      <c r="H33" s="506"/>
      <c r="I33" s="512" t="s">
        <v>25</v>
      </c>
      <c r="J33" s="513"/>
      <c r="K33" s="133"/>
      <c r="L33" s="87"/>
    </row>
    <row r="34" spans="1:13" ht="42" customHeight="1" thickTop="1" thickBot="1" x14ac:dyDescent="0.3">
      <c r="B34" s="494" t="s">
        <v>27</v>
      </c>
      <c r="C34" s="495"/>
      <c r="D34" s="495"/>
      <c r="E34" s="495"/>
      <c r="F34" s="495"/>
      <c r="G34" s="496" t="s">
        <v>869</v>
      </c>
      <c r="H34" s="496"/>
      <c r="I34" s="496"/>
      <c r="J34" s="497"/>
      <c r="K34" s="349">
        <f>K26+K32</f>
        <v>0</v>
      </c>
      <c r="L34" s="87"/>
      <c r="M34" s="86" t="str">
        <f>IF(I33="Yes","Yes","No")</f>
        <v>No</v>
      </c>
    </row>
    <row r="35" spans="1:13" ht="30" customHeight="1" x14ac:dyDescent="0.25">
      <c r="A35" s="7"/>
      <c r="B35"/>
      <c r="C35"/>
      <c r="D35"/>
      <c r="E35"/>
      <c r="F35"/>
      <c r="G35"/>
      <c r="H35"/>
      <c r="I35"/>
      <c r="J35"/>
      <c r="L35" s="86"/>
    </row>
    <row r="36" spans="1:13" ht="30" customHeight="1" x14ac:dyDescent="0.25">
      <c r="B36"/>
      <c r="C36"/>
      <c r="D36"/>
      <c r="E36"/>
      <c r="F36"/>
      <c r="G36"/>
      <c r="H36"/>
      <c r="I36"/>
      <c r="J36"/>
      <c r="L36" s="88"/>
    </row>
    <row r="37" spans="1:13" ht="36" customHeight="1" x14ac:dyDescent="0.25">
      <c r="B37"/>
      <c r="C37"/>
      <c r="D37"/>
      <c r="E37"/>
      <c r="F37"/>
      <c r="G37"/>
      <c r="H37"/>
      <c r="I37"/>
      <c r="J37"/>
      <c r="L37" s="86"/>
    </row>
    <row r="38" spans="1:13" x14ac:dyDescent="0.25">
      <c r="B38"/>
      <c r="C38"/>
      <c r="D38"/>
      <c r="E38"/>
      <c r="F38"/>
      <c r="G38"/>
      <c r="H38"/>
      <c r="I38"/>
      <c r="J38"/>
    </row>
    <row r="39" spans="1:13" x14ac:dyDescent="0.25">
      <c r="B39"/>
      <c r="C39"/>
      <c r="D39"/>
      <c r="E39"/>
      <c r="F39"/>
      <c r="G39"/>
      <c r="H39"/>
      <c r="I39"/>
      <c r="J39"/>
    </row>
    <row r="40" spans="1:13" ht="30.75" customHeight="1" x14ac:dyDescent="0.25">
      <c r="B40"/>
      <c r="C40"/>
      <c r="D40"/>
      <c r="E40"/>
      <c r="F40"/>
      <c r="G40"/>
      <c r="H40"/>
      <c r="I40"/>
      <c r="J40"/>
    </row>
    <row r="41" spans="1:13" x14ac:dyDescent="0.25">
      <c r="B41"/>
      <c r="C41"/>
      <c r="D41"/>
      <c r="E41"/>
      <c r="F41"/>
      <c r="G41"/>
      <c r="H41"/>
      <c r="I41"/>
      <c r="J41"/>
    </row>
    <row r="42" spans="1:13" x14ac:dyDescent="0.25">
      <c r="B42"/>
      <c r="C42"/>
      <c r="D42"/>
      <c r="E42"/>
      <c r="F42"/>
      <c r="G42"/>
      <c r="H42"/>
      <c r="I42"/>
      <c r="J42"/>
      <c r="K42" s="2"/>
    </row>
    <row r="43" spans="1:13" x14ac:dyDescent="0.25">
      <c r="B43"/>
      <c r="C43"/>
      <c r="D43"/>
      <c r="E43"/>
      <c r="F43"/>
      <c r="G43"/>
      <c r="H43"/>
      <c r="I43"/>
      <c r="J43"/>
      <c r="K43" s="2"/>
    </row>
    <row r="45" spans="1:13" ht="31.5" customHeight="1" x14ac:dyDescent="0.25"/>
    <row r="47" spans="1:13" ht="19.5" customHeight="1" x14ac:dyDescent="0.25"/>
    <row r="49" ht="21" customHeight="1" x14ac:dyDescent="0.25"/>
    <row r="50" ht="27" customHeight="1" x14ac:dyDescent="0.25"/>
  </sheetData>
  <sheetProtection algorithmName="SHA-512" hashValue="GaH5CIIBRq5MVHzEWhC97n2GPLkKkw5SHS4En7R52WT8Ir6J/tuTFW+/08I+IaBddRad9ZKAKwQ+yf4boPhvMA==" saltValue="f3PiWckwuPE0JrMcOzShgg==" spinCount="100000" sheet="1" objects="1" scenarios="1"/>
  <mergeCells count="56">
    <mergeCell ref="I27:J27"/>
    <mergeCell ref="H19:I19"/>
    <mergeCell ref="H20:I20"/>
    <mergeCell ref="H21:I21"/>
    <mergeCell ref="B34:F34"/>
    <mergeCell ref="G34:J34"/>
    <mergeCell ref="B32:J32"/>
    <mergeCell ref="B30:K30"/>
    <mergeCell ref="B31:J31"/>
    <mergeCell ref="B33:H33"/>
    <mergeCell ref="B25:J25"/>
    <mergeCell ref="E23:G23"/>
    <mergeCell ref="H23:I23"/>
    <mergeCell ref="B24:J24"/>
    <mergeCell ref="I33:J33"/>
    <mergeCell ref="B26:J26"/>
    <mergeCell ref="B27:G27"/>
    <mergeCell ref="F1:G2"/>
    <mergeCell ref="N7:N9"/>
    <mergeCell ref="H1:J1"/>
    <mergeCell ref="B8:D8"/>
    <mergeCell ref="H2:J2"/>
    <mergeCell ref="B7:D7"/>
    <mergeCell ref="G3:J3"/>
    <mergeCell ref="E5:J5"/>
    <mergeCell ref="E7:G7"/>
    <mergeCell ref="B6:K6"/>
    <mergeCell ref="B9:G11"/>
    <mergeCell ref="I7:K7"/>
    <mergeCell ref="E8:G8"/>
    <mergeCell ref="I8:K8"/>
    <mergeCell ref="I10:J10"/>
    <mergeCell ref="I9:J9"/>
    <mergeCell ref="B12:K12"/>
    <mergeCell ref="E13:G13"/>
    <mergeCell ref="E15:G15"/>
    <mergeCell ref="B13:D13"/>
    <mergeCell ref="I11:J11"/>
    <mergeCell ref="H13:I13"/>
    <mergeCell ref="H15:I15"/>
    <mergeCell ref="B28:K28"/>
    <mergeCell ref="B29:H29"/>
    <mergeCell ref="I29:J29"/>
    <mergeCell ref="E14:G14"/>
    <mergeCell ref="H14:I14"/>
    <mergeCell ref="H17:I17"/>
    <mergeCell ref="E21:G21"/>
    <mergeCell ref="E20:G20"/>
    <mergeCell ref="E17:G17"/>
    <mergeCell ref="H18:I18"/>
    <mergeCell ref="E22:G22"/>
    <mergeCell ref="H22:I22"/>
    <mergeCell ref="E16:G16"/>
    <mergeCell ref="H16:I16"/>
    <mergeCell ref="E18:G18"/>
    <mergeCell ref="E19:G19"/>
  </mergeCells>
  <conditionalFormatting sqref="B14:D23">
    <cfRule type="expression" dxfId="77" priority="32">
      <formula>AND($R14&lt;&gt;"",ISERROR(MATCH($R14,Measures_All_VL,0)))</formula>
    </cfRule>
  </conditionalFormatting>
  <conditionalFormatting sqref="I27 K27">
    <cfRule type="expression" dxfId="66" priority="73">
      <formula>$H$27="Yes"</formula>
    </cfRule>
  </conditionalFormatting>
  <conditionalFormatting sqref="I29">
    <cfRule type="expression" dxfId="65" priority="4">
      <formula>AND(Existing_Solar_Yes_No="No", EEMs_ID_10="CE-BATT")</formula>
    </cfRule>
    <cfRule type="expression" dxfId="64" priority="5">
      <formula>AND(Existing_Solar_Yes_No="No", EEMs_ID_9="CE-BATT")</formula>
    </cfRule>
    <cfRule type="expression" dxfId="63" priority="6">
      <formula>AND(Existing_Solar_Yes_No="No", EEMs_ID_8="CE-BATT")</formula>
    </cfRule>
    <cfRule type="expression" dxfId="62" priority="7">
      <formula>AND(Existing_Solar_Yes_No="No", EEMs_ID_7="CE-BATT")</formula>
    </cfRule>
    <cfRule type="expression" dxfId="61" priority="8">
      <formula>AND(Existing_Solar_Yes_No="No", EEMs_ID_6="CE-BATT")</formula>
    </cfRule>
    <cfRule type="expression" dxfId="60" priority="9">
      <formula>AND(Existing_Solar_Yes_No="No", EEMs_ID_5="CE-BATT")</formula>
    </cfRule>
    <cfRule type="expression" dxfId="59" priority="10">
      <formula>AND(Existing_Solar_Yes_No="No", EEMs_ID_4="CE-BATT")</formula>
    </cfRule>
    <cfRule type="expression" dxfId="58" priority="11">
      <formula>AND(Existing_Solar_Yes_No="No", EEMs_ID_3="CE-BATT")</formula>
    </cfRule>
    <cfRule type="expression" dxfId="57" priority="12">
      <formula>AND(Existing_Solar_Yes_No="No", EEMs_ID_1="CE-BATT")</formula>
    </cfRule>
    <cfRule type="expression" dxfId="56" priority="13">
      <formula>AND(Existing_Solar_Yes_No="No", EEMs_ID_2="CE-BATT")</formula>
    </cfRule>
  </conditionalFormatting>
  <conditionalFormatting sqref="I33">
    <cfRule type="expression" dxfId="55" priority="38">
      <formula>$I33="No"</formula>
    </cfRule>
  </conditionalFormatting>
  <conditionalFormatting sqref="K14:K23 K25 K32">
    <cfRule type="cellIs" dxfId="54" priority="34" operator="lessThan">
      <formula>0</formula>
    </cfRule>
  </conditionalFormatting>
  <conditionalFormatting sqref="K14:K23 K25">
    <cfRule type="expression" dxfId="53" priority="33">
      <formula>AND(1-ISNUMBER(K14),K14&lt;&gt;"")</formula>
    </cfRule>
  </conditionalFormatting>
  <dataValidations xWindow="1553" yWindow="750" count="17">
    <dataValidation type="decimal" operator="greaterThan" allowBlank="1" showInputMessage="1" showErrorMessage="1" sqref="K3:K4 J14:J23" xr:uid="{00000000-0002-0000-0000-000000000000}">
      <formula1>0</formula1>
    </dataValidation>
    <dataValidation type="decimal" errorStyle="information" operator="greaterThan" allowBlank="1" showInputMessage="1" showErrorMessage="1" error="This must be a dollar amount. " sqref="K25 K32:K33" xr:uid="{00000000-0002-0000-0000-000001000000}">
      <formula1>0</formula1>
    </dataValidation>
    <dataValidation operator="greaterThan" allowBlank="1" showInputMessage="1" showErrorMessage="1" sqref="K1" xr:uid="{00000000-0002-0000-0000-000002000000}"/>
    <dataValidation type="list" errorStyle="warning" operator="equal" allowBlank="1" showInputMessage="1" error="EEEMs IDs have 4 characters after the hyphen." sqref="D21" xr:uid="{00000000-0002-0000-0000-000003000000}">
      <formula1>INDIRECT(EEMs_Measure_Type_8)</formula1>
    </dataValidation>
    <dataValidation type="list" allowBlank="1" showInputMessage="1" showErrorMessage="1" sqref="I33:J33 H14:I14 H15:H23 I29:J29 H27" xr:uid="{00000000-0002-0000-0000-000004000000}">
      <formula1>Yes_No_VL</formula1>
    </dataValidation>
    <dataValidation type="decimal" errorStyle="information" operator="greaterThan" allowBlank="1" showInputMessage="1" error="This must be a dollar amount. " sqref="K26" xr:uid="{00000000-0002-0000-0000-000005000000}">
      <formula1>0</formula1>
    </dataValidation>
    <dataValidation type="list" operator="equal" allowBlank="1" showInputMessage="1" error="EEEMs IDs have 4 characters after the hyphen." sqref="D14" xr:uid="{00000000-0002-0000-0000-000006000000}">
      <formula1>INDIRECT(EEMs_Measure_Type_1)</formula1>
    </dataValidation>
    <dataValidation type="decimal" errorStyle="information" operator="greaterThanOrEqual" allowBlank="1" showInputMessage="1" showErrorMessage="1" error="This must be a dollar amount. " sqref="K14:K23" xr:uid="{00000000-0002-0000-0000-000007000000}">
      <formula1>0</formula1>
    </dataValidation>
    <dataValidation type="list" errorStyle="warning" operator="equal" allowBlank="1" showInputMessage="1" error="EEEMs IDs have 4 characters after the hyphen." sqref="D17" xr:uid="{D2DDD5EB-DF32-44C6-A079-282BB23AB3F0}">
      <formula1>INDIRECT(EEMs_Measure_Type_4)</formula1>
    </dataValidation>
    <dataValidation type="list" errorStyle="warning" operator="equal" allowBlank="1" showInputMessage="1" error="EEEMs IDs have 4 characters after the hyphen." sqref="D18" xr:uid="{1281B34E-B96D-4189-AD6C-67F6FB702FA3}">
      <formula1>INDIRECT(EEMs_Measure_Type_5)</formula1>
    </dataValidation>
    <dataValidation type="list" errorStyle="warning" operator="equal" allowBlank="1" showInputMessage="1" error="EEEMs IDs have 4 characters after the hyphen." sqref="D15" xr:uid="{F221419A-6E21-4A29-9C78-1A14A437B550}">
      <formula1>INDIRECT(EEMs_Measure_Type_2)</formula1>
    </dataValidation>
    <dataValidation type="list" errorStyle="warning" operator="equal" allowBlank="1" showInputMessage="1" error="EEEMs IDs have 4 characters after the hyphen." sqref="D16" xr:uid="{6878F54A-A323-411C-971A-91EEA1DA47D1}">
      <formula1>INDIRECT(EEMs_Measure_Type_3)</formula1>
    </dataValidation>
    <dataValidation type="list" errorStyle="warning" operator="equal" allowBlank="1" showInputMessage="1" error="EEEMs IDs have 4 characters after the hyphen." sqref="D19" xr:uid="{A62AF27C-5BA5-4150-B81B-3B01CC357AB3}">
      <formula1>INDIRECT(EEMs_Measure_Type_6)</formula1>
    </dataValidation>
    <dataValidation type="list" errorStyle="warning" operator="equal" allowBlank="1" showInputMessage="1" error="EEEMs IDs have 4 characters after the hyphen." sqref="D20" xr:uid="{9D59EBF2-5636-4A86-B563-D6603CCFF065}">
      <formula1>INDIRECT(EEMs_Measure_Type_7)</formula1>
    </dataValidation>
    <dataValidation type="list" errorStyle="warning" operator="equal" allowBlank="1" showInputMessage="1" error="EEEMs IDs have 4 characters after the hyphen." sqref="D22" xr:uid="{3EB15B31-9C69-45E9-B00F-64AB095AF737}">
      <formula1>INDIRECT(EEMs_Measure_Type_9)</formula1>
    </dataValidation>
    <dataValidation type="list" errorStyle="warning" operator="equal" allowBlank="1" showInputMessage="1" error="EEEMs IDs have 4 characters after the hyphen." sqref="D23" xr:uid="{C812ACBE-F62C-4C02-A4D4-F0C84A6B4FD2}">
      <formula1>INDIRECT(EEMs_Measure_Type_10)</formula1>
    </dataValidation>
    <dataValidation type="custom" allowBlank="1" showInputMessage="1" showErrorMessage="1" prompt="Solar Install is Yes" sqref="R14" xr:uid="{7659109F-DB25-4B22-8A14-A34EC11577E8}">
      <formula1>R14="CE-BATT"</formula1>
    </dataValidation>
  </dataValidations>
  <printOptions horizontalCentered="1" verticalCentered="1"/>
  <pageMargins left="0.5" right="0.5" top="0.5" bottom="0.5" header="0.3" footer="0.3"/>
  <pageSetup scale="65" orientation="portrait" r:id="rId1"/>
  <headerFooter>
    <oddHeader>&amp;L&amp;"-,Italic"GOGREEN HOME ENERGY FINANCING PROGRAM&amp;R&amp;"-,Italic"California Alternative Energy and Advanced Transportation Financing Authority</oddHeader>
    <oddFooter>&amp;L&amp;"-,Italic"STATE OF CALIFORNIA&amp;RItemized Invoice/Loan Enrollment Workbook CAEATFA-CHEEF-1220-E3    Rev. 2023.09.11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locked="0" defaultSize="0" autoFill="0" autoLine="0" autoPict="0">
                <anchor moveWithCells="1">
                  <from>
                    <xdr:col>10</xdr:col>
                    <xdr:colOff>190500</xdr:colOff>
                    <xdr:row>9</xdr:row>
                    <xdr:rowOff>114300</xdr:rowOff>
                  </from>
                  <to>
                    <xdr:col>10</xdr:col>
                    <xdr:colOff>1752600</xdr:colOff>
                    <xdr:row>10</xdr:row>
                    <xdr:rowOff>114300</xdr:rowOff>
                  </to>
                </anchor>
              </controlPr>
            </control>
          </mc:Choice>
        </mc:AlternateContent>
        <mc:AlternateContent xmlns:mc="http://schemas.openxmlformats.org/markup-compatibility/2006">
          <mc:Choice Requires="x14">
            <control shapeId="1029" r:id="rId5" name="Option Button 5">
              <controlPr locked="0" defaultSize="0" autoFill="0" autoLine="0" autoPict="0">
                <anchor moveWithCells="1">
                  <from>
                    <xdr:col>10</xdr:col>
                    <xdr:colOff>190500</xdr:colOff>
                    <xdr:row>8</xdr:row>
                    <xdr:rowOff>123825</xdr:rowOff>
                  </from>
                  <to>
                    <xdr:col>10</xdr:col>
                    <xdr:colOff>1781175</xdr:colOff>
                    <xdr:row>9</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 id="{7ED20639-6A64-43BC-B9F5-318E4002B3AA}">
            <xm:f>OR(AND($B$14="BE",$D$14="ROOF",'Lender''s Entry Screen'!$AF$6="POU or Co-op",'Lender''s Entry Screen'!$AI$6="Big 4 IOU"),AND($B$14="CE",$D$14="SOBT",'Lender''s Entry Screen'!$AF$6="POU or Co-op",'Lender''s Entry Screen'!$AI$6="Big 4 IOU"),AND($B$14="CE",$D$14="BATT",'Lender''s Entry Screen'!$AF$6="POU or Co-op",'Lender''s Entry Screen'!$AI$6="Big 4 IOU"),AND($B$14="TR",$D$14="EVCH",'Lender''s Entry Screen'!$AF$6="POU or Co-op",'Lender''s Entry Screen'!$AI$6="Big 4 IOU"))</xm:f>
            <x14:dxf>
              <font>
                <color rgb="FFC00000"/>
              </font>
              <fill>
                <patternFill>
                  <bgColor theme="5" tint="0.59996337778862885"/>
                </patternFill>
              </fill>
            </x14:dxf>
          </x14:cfRule>
          <xm:sqref>B14:K14</xm:sqref>
        </x14:conditionalFormatting>
        <x14:conditionalFormatting xmlns:xm="http://schemas.microsoft.com/office/excel/2006/main">
          <x14:cfRule type="expression" priority="24" id="{741A350E-5E07-431A-83B8-8BE643E082C0}">
            <xm:f>OR(AND($B$15="BE",$D$15="ROOF",'Lender''s Entry Screen'!$AF$6="POU or Co-op",'Lender''s Entry Screen'!$AI$6="Big 4 IOU"),AND($B$15="CE",$D$15="SOBT",'Lender''s Entry Screen'!$AF$6="POU or Co-op",'Lender''s Entry Screen'!$AI$6="Big 4 IOU"),AND($B$15="CE",$D$15="BATT",'Lender''s Entry Screen'!$AF$6="POU or Co-op",'Lender''s Entry Screen'!$AI$6="Big 4 IOU"),AND($B$15="TR",$D$15="EVCH",'Lender''s Entry Screen'!$AF$6="POU or Co-op",'Lender''s Entry Screen'!$AI$6="Big 4 IOU"))</xm:f>
            <x14:dxf>
              <font>
                <color rgb="FFC00000"/>
              </font>
              <fill>
                <patternFill>
                  <bgColor theme="5" tint="0.59996337778862885"/>
                </patternFill>
              </fill>
            </x14:dxf>
          </x14:cfRule>
          <xm:sqref>B15:K15</xm:sqref>
        </x14:conditionalFormatting>
        <x14:conditionalFormatting xmlns:xm="http://schemas.microsoft.com/office/excel/2006/main">
          <x14:cfRule type="expression" priority="23" id="{56EAC664-A303-453E-B952-D248187BAD53}">
            <xm:f>OR(AND($B$16="BE",$D$16="ROOF",'Lender''s Entry Screen'!$AF$6="POU or Co-op",'Lender''s Entry Screen'!$AI$6="Big 4 IOU"),AND($B$16="CE",$D$16="SOBT",'Lender''s Entry Screen'!$AF$6="POU or Co-op",'Lender''s Entry Screen'!$AI$6="Big 4 IOU"),AND($B$16="CE",$D$16="BATT",'Lender''s Entry Screen'!$AF$6="POU or Co-op",'Lender''s Entry Screen'!$AI$6="Big 4 IOU"),AND($B$16="TR",$D$16="EVCH",'Lender''s Entry Screen'!$AF$6="POU or Co-op",'Lender''s Entry Screen'!$AI$6="Big 4 IOU"))</xm:f>
            <x14:dxf>
              <font>
                <color rgb="FFC00000"/>
              </font>
              <fill>
                <patternFill>
                  <bgColor theme="5" tint="0.59996337778862885"/>
                </patternFill>
              </fill>
            </x14:dxf>
          </x14:cfRule>
          <xm:sqref>B16:K16</xm:sqref>
        </x14:conditionalFormatting>
        <x14:conditionalFormatting xmlns:xm="http://schemas.microsoft.com/office/excel/2006/main">
          <x14:cfRule type="expression" priority="22" id="{32D5A47C-2749-46B6-8693-B06FB68D657A}">
            <xm:f>OR(AND($B$17="BE",$D$17="ROOF",'Lender''s Entry Screen'!$AF$6="POU or Co-op",'Lender''s Entry Screen'!$AI$6="Big 4 IOU"),AND($B$17="CE",$D$17="SOBT",'Lender''s Entry Screen'!$AF$6="POU or Co-op",'Lender''s Entry Screen'!$AI$6="Big 4 IOU"),AND($B$17="CE",$D$17="BATT",'Lender''s Entry Screen'!$AF$6="POU or Co-op",'Lender''s Entry Screen'!$AI$6="Big 4 IOU"),AND($B$17="TR",$D$17="EVCH",'Lender''s Entry Screen'!$AF$6="POU or Co-op",'Lender''s Entry Screen'!$AI$6="Big 4 IOU"))</xm:f>
            <x14:dxf>
              <font>
                <color rgb="FFC00000"/>
              </font>
              <fill>
                <patternFill>
                  <bgColor theme="5" tint="0.59996337778862885"/>
                </patternFill>
              </fill>
            </x14:dxf>
          </x14:cfRule>
          <xm:sqref>B17:K17</xm:sqref>
        </x14:conditionalFormatting>
        <x14:conditionalFormatting xmlns:xm="http://schemas.microsoft.com/office/excel/2006/main">
          <x14:cfRule type="expression" priority="21" id="{C7D4C4F0-978A-4335-BF82-08D967A6348E}">
            <xm:f>OR(AND($B$18="BE",$D$18="ROOF",'Lender''s Entry Screen'!$AF$6="POU or Co-op",'Lender''s Entry Screen'!$AI$6="Big 4 IOU"),AND($B$18="CE",$D$18="SOBT",'Lender''s Entry Screen'!$AF$6="POU or Co-op",'Lender''s Entry Screen'!$AI$6="Big 4 IOU"),AND($B$18="CE",$D$18="BATT",'Lender''s Entry Screen'!$AF$6="POU or Co-op",'Lender''s Entry Screen'!$AI$6="Big 4 IOU"),AND($B$18="TR",$D$18="EVCH",'Lender''s Entry Screen'!$AF$6="POU or Co-op",'Lender''s Entry Screen'!$AI$6="Big 4 IOU"))</xm:f>
            <x14:dxf>
              <font>
                <color rgb="FFC00000"/>
              </font>
              <fill>
                <patternFill>
                  <bgColor theme="5" tint="0.59996337778862885"/>
                </patternFill>
              </fill>
            </x14:dxf>
          </x14:cfRule>
          <xm:sqref>B18:K18</xm:sqref>
        </x14:conditionalFormatting>
        <x14:conditionalFormatting xmlns:xm="http://schemas.microsoft.com/office/excel/2006/main">
          <x14:cfRule type="expression" priority="20" id="{135D7BB2-F782-494B-A099-35BCF8DFB440}">
            <xm:f>OR(AND($B$19="BE",$D$19="ROOF",'Lender''s Entry Screen'!$AF$6="POU or Co-op",'Lender''s Entry Screen'!$AI$6="Big 4 IOU"),AND($B$19="CE",$D$19="SOBT",'Lender''s Entry Screen'!$AF$6="POU or Co-op",'Lender''s Entry Screen'!$AI$6="Big 4 IOU"),AND($B$19="CE",$D$19="BATT",'Lender''s Entry Screen'!$AF$6="POU or Co-op",'Lender''s Entry Screen'!$AI$6="Big 4 IOU"),AND($B$19="TR",$D$19="EVCH",'Lender''s Entry Screen'!$AF$6="POU or Co-op",'Lender''s Entry Screen'!$AI$6="Big 4 IOU"))</xm:f>
            <x14:dxf>
              <font>
                <color rgb="FFC00000"/>
              </font>
              <fill>
                <patternFill>
                  <bgColor theme="5" tint="0.59996337778862885"/>
                </patternFill>
              </fill>
            </x14:dxf>
          </x14:cfRule>
          <xm:sqref>B19:K19</xm:sqref>
        </x14:conditionalFormatting>
        <x14:conditionalFormatting xmlns:xm="http://schemas.microsoft.com/office/excel/2006/main">
          <x14:cfRule type="expression" priority="19" id="{1A62DFDA-E606-4CC7-B7DC-0C4AEF7DC42B}">
            <xm:f>OR(AND($B$20="BE",$D$20="ROOF",'Lender''s Entry Screen'!$AF$6="POU or Co-op",'Lender''s Entry Screen'!$AI$6="Big 4 IOU"),AND($B$20="CE",$D$20="SOBT",'Lender''s Entry Screen'!$AF$6="POU or Co-op",'Lender''s Entry Screen'!$AI$6="Big 4 IOU"),AND($B$20="CE",$D$20="BATT",'Lender''s Entry Screen'!$AF$6="POU or Co-op",'Lender''s Entry Screen'!$AI$6="Big 4 IOU"),AND($B$20="TR",$D$20="EVCH",'Lender''s Entry Screen'!$AF$6="POU or Co-op",'Lender''s Entry Screen'!$AI$6="Big 4 IOU"))</xm:f>
            <x14:dxf>
              <font>
                <color rgb="FFC00000"/>
              </font>
              <fill>
                <patternFill>
                  <bgColor theme="5" tint="0.59996337778862885"/>
                </patternFill>
              </fill>
            </x14:dxf>
          </x14:cfRule>
          <xm:sqref>B20:K20</xm:sqref>
        </x14:conditionalFormatting>
        <x14:conditionalFormatting xmlns:xm="http://schemas.microsoft.com/office/excel/2006/main">
          <x14:cfRule type="expression" priority="17" id="{076E9ADF-6372-429A-B118-EC6316EF417F}">
            <xm:f>OR(AND($B$21="BE",$D$21="ROOF",'Lender''s Entry Screen'!$AF$6="POU or Co-op",'Lender''s Entry Screen'!$AI$6="Big 4 IOU"),AND($B$21="CE",$D$21="SOBT",'Lender''s Entry Screen'!$AF$6="POU or Co-op",'Lender''s Entry Screen'!$AI$6="Big 4 IOU"),AND($B$21="CE",$D$21="BATT",'Lender''s Entry Screen'!$AF$6="POU or Co-op",'Lender''s Entry Screen'!$AI$6="Big 4 IOU"),AND($B$21="TR",$D$21="EVCH",'Lender''s Entry Screen'!$AF$6="POU or Co-op",'Lender''s Entry Screen'!$AI$6="Big 4 IOU"))</xm:f>
            <x14:dxf>
              <font>
                <color rgb="FFC00000"/>
              </font>
              <fill>
                <patternFill>
                  <bgColor theme="5" tint="0.59996337778862885"/>
                </patternFill>
              </fill>
            </x14:dxf>
          </x14:cfRule>
          <xm:sqref>B21:K21</xm:sqref>
        </x14:conditionalFormatting>
        <x14:conditionalFormatting xmlns:xm="http://schemas.microsoft.com/office/excel/2006/main">
          <x14:cfRule type="expression" priority="16" id="{F118FCE1-5746-4362-922E-2DCA3C99FB49}">
            <xm:f>OR(AND($B$22="BE",$D$22="ROOF",'Lender''s Entry Screen'!$AF$6="POU or Co-op",'Lender''s Entry Screen'!$AI$6="Big 4 IOU"),AND($B$22="CE",$D$22="SOBT",'Lender''s Entry Screen'!$AF$6="POU or Co-op",'Lender''s Entry Screen'!$AI$6="Big 4 IOU"),AND($B$22="CE",$D$22="BATT",'Lender''s Entry Screen'!$AF$6="POU or Co-op",'Lender''s Entry Screen'!$AI$6="Big 4 IOU"),AND($B$22="TR",$D$22="EVCH",'Lender''s Entry Screen'!$AF$6="POU or Co-op",'Lender''s Entry Screen'!$AI$6="Big 4 IOU"))</xm:f>
            <x14:dxf>
              <font>
                <color rgb="FFC00000"/>
              </font>
              <fill>
                <patternFill>
                  <bgColor theme="5" tint="0.59996337778862885"/>
                </patternFill>
              </fill>
            </x14:dxf>
          </x14:cfRule>
          <xm:sqref>B22:K22</xm:sqref>
        </x14:conditionalFormatting>
        <x14:conditionalFormatting xmlns:xm="http://schemas.microsoft.com/office/excel/2006/main">
          <x14:cfRule type="expression" priority="15" id="{63C8EA5B-8DCB-402D-98F4-87341885E7C9}">
            <xm:f>OR(AND($B$23="BE",$D$23="ROOF",'Lender''s Entry Screen'!$AF$6="POU or Co-op",'Lender''s Entry Screen'!$AI$6="Big 4 IOU"),AND($B$23="CE",$D$23="SOBT",'Lender''s Entry Screen'!$AF$6="POU or Co-op",'Lender''s Entry Screen'!$AI$6="Big 4 IOU"),AND($B$23="CE",$D$23="BATT",'Lender''s Entry Screen'!$AF$6="POU or Co-op",'Lender''s Entry Screen'!$AI$6="Big 4 IOU"),AND($B$23="TR",$D$23="EVCH",'Lender''s Entry Screen'!$AF$6="POU or Co-op",'Lender''s Entry Screen'!$AI$6="Big 4 IOU"))</xm:f>
            <x14:dxf>
              <font>
                <color rgb="FFC00000"/>
              </font>
              <fill>
                <patternFill>
                  <bgColor theme="5" tint="0.59996337778862885"/>
                </patternFill>
              </fill>
            </x14:dxf>
          </x14:cfRule>
          <xm:sqref>B23:K23</xm:sqref>
        </x14:conditionalFormatting>
      </x14:conditionalFormattings>
    </ext>
    <ext xmlns:x14="http://schemas.microsoft.com/office/spreadsheetml/2009/9/main" uri="{CCE6A557-97BC-4b89-ADB6-D9C93CAAB3DF}">
      <x14:dataValidations xmlns:xm="http://schemas.microsoft.com/office/excel/2006/main" xWindow="1553" yWindow="750" count="1">
        <x14:dataValidation type="list" operator="equal" allowBlank="1" showInputMessage="1" showErrorMessage="1" error="EEEMs start with 2 letters corresponding to the measure type. Either AP for Appliance, BE for Building Envelop, DR for Demand Response, HV for HVAC, LI for Lighting, PP for Pool Products, WH for Water Heating or OT for Other." xr:uid="{00000000-0002-0000-0000-000008000000}">
          <x14:formula1>
            <xm:f>'Value Lists and Assumptions'!$G$6:$G$15</xm:f>
          </x14:formula1>
          <xm:sqref>B14:B23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CI14"/>
  <sheetViews>
    <sheetView zoomScale="70" zoomScaleNormal="70" workbookViewId="0">
      <selection activeCell="B6" sqref="B6"/>
    </sheetView>
  </sheetViews>
  <sheetFormatPr defaultColWidth="9.140625" defaultRowHeight="15" x14ac:dyDescent="0.25"/>
  <cols>
    <col min="1" max="1" width="27.85546875" style="7" customWidth="1"/>
    <col min="2" max="6" width="24.140625" style="6" customWidth="1"/>
    <col min="7" max="7" width="34" style="6" customWidth="1"/>
    <col min="8" max="12" width="25.42578125" style="6" customWidth="1"/>
    <col min="13" max="13" width="34" style="6" customWidth="1"/>
    <col min="14" max="16" width="27" style="6" customWidth="1"/>
    <col min="17" max="21" width="23" style="6" customWidth="1"/>
    <col min="22" max="24" width="34.140625" style="6" customWidth="1"/>
    <col min="25" max="25" width="24" style="6" customWidth="1"/>
    <col min="26" max="26" width="34.140625" style="6" hidden="1" customWidth="1"/>
    <col min="27" max="28" width="24" style="6" customWidth="1"/>
    <col min="29" max="29" width="35.42578125" style="6" customWidth="1"/>
    <col min="30" max="30" width="24" style="6" customWidth="1"/>
    <col min="31" max="31" width="30.140625" style="6" customWidth="1"/>
    <col min="32" max="32" width="24" style="6" hidden="1" customWidth="1"/>
    <col min="33" max="33" width="34" style="6" customWidth="1"/>
    <col min="34" max="34" width="24" style="6" customWidth="1"/>
    <col min="35" max="35" width="24" style="6" hidden="1" customWidth="1"/>
    <col min="36" max="36" width="34" style="6" customWidth="1"/>
    <col min="37" max="37" width="35.42578125" style="6" customWidth="1"/>
    <col min="38" max="38" width="46.42578125" style="6" customWidth="1"/>
    <col min="39" max="41" width="35.5703125" style="6" hidden="1" customWidth="1"/>
    <col min="42" max="46" width="34" style="6" hidden="1" customWidth="1"/>
    <col min="47" max="47" width="33.85546875" style="6" hidden="1" customWidth="1"/>
    <col min="48" max="52" width="53" style="6" hidden="1" customWidth="1"/>
    <col min="53" max="59" width="33.85546875" style="6" hidden="1" customWidth="1"/>
    <col min="60" max="78" width="28.5703125" style="6" hidden="1" customWidth="1"/>
    <col min="79" max="83" width="33.85546875" style="6" hidden="1" customWidth="1"/>
    <col min="84" max="86" width="28.42578125" style="6" hidden="1" customWidth="1"/>
    <col min="87" max="87" width="102" style="54" customWidth="1"/>
    <col min="88" max="16384" width="9.140625" style="6"/>
  </cols>
  <sheetData>
    <row r="1" spans="1:87" ht="75.75" customHeight="1" x14ac:dyDescent="0.25">
      <c r="A1" s="89"/>
      <c r="B1" s="534" t="s">
        <v>28</v>
      </c>
      <c r="C1" s="534"/>
      <c r="D1" s="534"/>
      <c r="E1" s="535" t="s">
        <v>916</v>
      </c>
      <c r="F1" s="535"/>
      <c r="I1" s="90"/>
      <c r="M1" s="91"/>
      <c r="N1" s="92"/>
      <c r="O1" s="92"/>
      <c r="S1" s="91"/>
      <c r="T1" s="92"/>
      <c r="U1" s="92"/>
      <c r="X1" s="91"/>
      <c r="Z1" s="224"/>
      <c r="AA1" s="91"/>
      <c r="AC1" s="92"/>
      <c r="AD1" s="91"/>
      <c r="AE1" s="92"/>
      <c r="AF1" s="92" t="s">
        <v>637</v>
      </c>
      <c r="AH1" s="92"/>
      <c r="AI1" s="92" t="s">
        <v>637</v>
      </c>
      <c r="AK1" s="92"/>
      <c r="AL1" s="92"/>
      <c r="AM1" s="7"/>
      <c r="AO1" s="91"/>
      <c r="AQ1" s="92"/>
      <c r="AT1" s="91"/>
      <c r="AU1" s="92"/>
      <c r="AV1" s="93"/>
      <c r="AX1" s="94"/>
      <c r="AY1" s="91"/>
      <c r="BB1" s="7"/>
      <c r="BE1" s="7"/>
      <c r="BF1" s="7"/>
      <c r="BG1" s="7"/>
      <c r="BH1" s="92"/>
      <c r="BI1" s="92"/>
      <c r="BJ1" s="92"/>
      <c r="BK1" s="92"/>
      <c r="BL1" s="92"/>
      <c r="BM1" s="92"/>
      <c r="BN1" s="92"/>
      <c r="BO1" s="92"/>
      <c r="BP1" s="92"/>
      <c r="BQ1" s="92"/>
      <c r="BR1" s="92"/>
      <c r="BS1" s="92"/>
      <c r="BT1" s="92"/>
      <c r="BU1" s="92"/>
      <c r="BV1" s="92"/>
      <c r="BW1" s="92"/>
      <c r="BX1" s="92"/>
      <c r="BY1" s="92"/>
      <c r="BZ1" s="92"/>
      <c r="CA1" s="91"/>
      <c r="CB1" s="91"/>
      <c r="CC1" s="91"/>
      <c r="CD1" s="7"/>
      <c r="CE1" s="7"/>
      <c r="CF1" s="92"/>
      <c r="CG1" s="92"/>
      <c r="CH1" s="92"/>
      <c r="CI1" s="95"/>
    </row>
    <row r="2" spans="1:87" ht="28.5" customHeight="1" thickBot="1" x14ac:dyDescent="0.3">
      <c r="A2" s="49"/>
      <c r="B2" s="533" t="s">
        <v>29</v>
      </c>
      <c r="C2" s="533"/>
      <c r="D2" s="533"/>
      <c r="E2" s="533" t="s">
        <v>30</v>
      </c>
      <c r="F2" s="533"/>
      <c r="G2" s="533"/>
      <c r="H2" s="533"/>
      <c r="I2" s="536" t="s">
        <v>31</v>
      </c>
      <c r="J2" s="536"/>
      <c r="K2" s="536"/>
      <c r="L2" s="536"/>
      <c r="M2" s="530" t="s">
        <v>32</v>
      </c>
      <c r="N2" s="531"/>
      <c r="O2" s="531"/>
      <c r="P2" s="531"/>
      <c r="Q2" s="531"/>
      <c r="R2" s="531"/>
      <c r="S2" s="531"/>
      <c r="T2" s="531"/>
      <c r="U2" s="532"/>
      <c r="V2" s="530" t="s">
        <v>33</v>
      </c>
      <c r="W2" s="532"/>
      <c r="X2" s="527" t="s">
        <v>34</v>
      </c>
      <c r="Y2" s="528"/>
      <c r="Z2" s="528"/>
      <c r="AA2" s="528"/>
      <c r="AB2" s="529"/>
      <c r="AC2" s="530" t="s">
        <v>35</v>
      </c>
      <c r="AD2" s="531"/>
      <c r="AE2" s="531"/>
      <c r="AF2" s="531"/>
      <c r="AG2" s="531"/>
      <c r="AH2" s="531"/>
      <c r="AI2" s="531"/>
      <c r="AJ2" s="532"/>
      <c r="AK2" s="519" t="s">
        <v>36</v>
      </c>
      <c r="AL2" s="520"/>
      <c r="AM2" s="521" t="s">
        <v>37</v>
      </c>
      <c r="AN2" s="522"/>
      <c r="AO2" s="522"/>
      <c r="AP2" s="522"/>
      <c r="AQ2" s="522"/>
      <c r="AR2" s="522"/>
      <c r="AS2" s="522"/>
      <c r="AT2" s="523"/>
      <c r="AU2" s="518" t="s">
        <v>38</v>
      </c>
      <c r="AV2" s="518"/>
      <c r="AW2" s="518"/>
      <c r="AX2" s="518"/>
      <c r="AY2" s="518"/>
      <c r="AZ2" s="518"/>
      <c r="BA2" s="518"/>
      <c r="BB2" s="518"/>
      <c r="BC2" s="518"/>
      <c r="BD2" s="518"/>
      <c r="BE2" s="525" t="s">
        <v>795</v>
      </c>
      <c r="BF2" s="526"/>
      <c r="BG2" s="526"/>
      <c r="BH2" s="526"/>
      <c r="BI2" s="526"/>
      <c r="BJ2" s="526"/>
      <c r="BK2" s="526"/>
      <c r="BL2" s="526"/>
      <c r="BM2" s="526"/>
      <c r="BN2" s="526"/>
      <c r="BO2" s="526"/>
      <c r="BP2" s="526"/>
      <c r="BQ2" s="526"/>
      <c r="BR2" s="526"/>
      <c r="BS2" s="526"/>
      <c r="BT2" s="526"/>
      <c r="BU2" s="526"/>
      <c r="BV2" s="526"/>
      <c r="BW2" s="526"/>
      <c r="BX2" s="526"/>
      <c r="BY2" s="526"/>
      <c r="BZ2" s="526"/>
      <c r="CA2" s="526"/>
      <c r="CB2" s="526"/>
      <c r="CC2" s="526"/>
      <c r="CD2" s="526"/>
      <c r="CE2" s="526"/>
      <c r="CF2" s="526"/>
      <c r="CG2" s="327"/>
      <c r="CH2" s="327"/>
      <c r="CI2" s="262" t="s">
        <v>711</v>
      </c>
    </row>
    <row r="3" spans="1:87" ht="45" x14ac:dyDescent="0.25">
      <c r="A3" s="49" t="s">
        <v>39</v>
      </c>
      <c r="B3" s="58" t="s">
        <v>40</v>
      </c>
      <c r="C3" s="58" t="s">
        <v>41</v>
      </c>
      <c r="D3" s="58" t="s">
        <v>42</v>
      </c>
      <c r="E3" s="57" t="s">
        <v>43</v>
      </c>
      <c r="F3" s="57" t="s">
        <v>44</v>
      </c>
      <c r="G3" s="57" t="s">
        <v>45</v>
      </c>
      <c r="H3" s="57" t="s">
        <v>46</v>
      </c>
      <c r="I3" s="57" t="s">
        <v>31</v>
      </c>
      <c r="J3" s="57" t="s">
        <v>47</v>
      </c>
      <c r="K3" s="57" t="s">
        <v>48</v>
      </c>
      <c r="L3" s="57" t="s">
        <v>49</v>
      </c>
      <c r="M3" s="58" t="s">
        <v>50</v>
      </c>
      <c r="N3" s="58" t="s">
        <v>51</v>
      </c>
      <c r="O3" s="58" t="s">
        <v>52</v>
      </c>
      <c r="P3" s="96" t="s">
        <v>53</v>
      </c>
      <c r="Q3" s="58" t="s">
        <v>54</v>
      </c>
      <c r="R3" s="58" t="s">
        <v>55</v>
      </c>
      <c r="S3" s="97" t="s">
        <v>56</v>
      </c>
      <c r="T3" s="57" t="s">
        <v>57</v>
      </c>
      <c r="U3" s="57" t="s">
        <v>796</v>
      </c>
      <c r="V3" s="58" t="s">
        <v>58</v>
      </c>
      <c r="W3" s="58" t="s">
        <v>59</v>
      </c>
      <c r="X3" s="57" t="s">
        <v>60</v>
      </c>
      <c r="Y3" s="58" t="s">
        <v>61</v>
      </c>
      <c r="Z3" s="52" t="s">
        <v>62</v>
      </c>
      <c r="AA3" s="57" t="s">
        <v>63</v>
      </c>
      <c r="AB3" s="57" t="s">
        <v>64</v>
      </c>
      <c r="AC3" s="57" t="s">
        <v>65</v>
      </c>
      <c r="AD3" s="58" t="s">
        <v>803</v>
      </c>
      <c r="AE3" s="58" t="s">
        <v>66</v>
      </c>
      <c r="AF3" s="52" t="s">
        <v>67</v>
      </c>
      <c r="AG3" s="58" t="s">
        <v>68</v>
      </c>
      <c r="AH3" s="58" t="s">
        <v>69</v>
      </c>
      <c r="AI3" s="52" t="s">
        <v>70</v>
      </c>
      <c r="AJ3" s="58" t="s">
        <v>71</v>
      </c>
      <c r="AK3" s="60" t="s">
        <v>709</v>
      </c>
      <c r="AL3" s="60" t="s">
        <v>72</v>
      </c>
      <c r="AM3" s="52" t="s">
        <v>73</v>
      </c>
      <c r="AN3" s="52" t="s">
        <v>74</v>
      </c>
      <c r="AO3" s="52" t="s">
        <v>75</v>
      </c>
      <c r="AP3" s="52" t="s">
        <v>76</v>
      </c>
      <c r="AQ3" s="52" t="s">
        <v>77</v>
      </c>
      <c r="AR3" s="52" t="s">
        <v>78</v>
      </c>
      <c r="AS3" s="52" t="s">
        <v>79</v>
      </c>
      <c r="AT3" s="52" t="s">
        <v>80</v>
      </c>
      <c r="AU3" s="59" t="s">
        <v>804</v>
      </c>
      <c r="AV3" s="98" t="s">
        <v>811</v>
      </c>
      <c r="AW3" s="59" t="s">
        <v>815</v>
      </c>
      <c r="AX3" s="98" t="s">
        <v>816</v>
      </c>
      <c r="AY3" s="98" t="s">
        <v>817</v>
      </c>
      <c r="AZ3" s="99" t="s">
        <v>818</v>
      </c>
      <c r="BA3" s="59" t="s">
        <v>81</v>
      </c>
      <c r="BB3" s="59" t="s">
        <v>819</v>
      </c>
      <c r="BC3" s="59" t="s">
        <v>82</v>
      </c>
      <c r="BD3" s="98" t="s">
        <v>83</v>
      </c>
      <c r="BE3" s="61" t="s">
        <v>84</v>
      </c>
      <c r="BF3" s="61" t="s">
        <v>85</v>
      </c>
      <c r="BG3" s="61" t="s">
        <v>86</v>
      </c>
      <c r="BH3" s="211" t="s">
        <v>605</v>
      </c>
      <c r="BI3" s="219" t="s">
        <v>606</v>
      </c>
      <c r="BJ3" s="219" t="s">
        <v>874</v>
      </c>
      <c r="BK3" s="268" t="s">
        <v>875</v>
      </c>
      <c r="BL3" s="268" t="s">
        <v>727</v>
      </c>
      <c r="BM3" s="211" t="s">
        <v>620</v>
      </c>
      <c r="BN3" s="219" t="s">
        <v>621</v>
      </c>
      <c r="BO3" s="219" t="s">
        <v>885</v>
      </c>
      <c r="BP3" s="268" t="s">
        <v>898</v>
      </c>
      <c r="BQ3" s="268" t="s">
        <v>728</v>
      </c>
      <c r="BR3" s="211" t="s">
        <v>622</v>
      </c>
      <c r="BS3" s="212" t="s">
        <v>623</v>
      </c>
      <c r="BT3" s="211" t="s">
        <v>624</v>
      </c>
      <c r="BU3" s="219" t="s">
        <v>625</v>
      </c>
      <c r="BV3" s="212" t="s">
        <v>628</v>
      </c>
      <c r="BW3" s="208" t="s">
        <v>626</v>
      </c>
      <c r="BX3" s="208" t="s">
        <v>627</v>
      </c>
      <c r="BY3" s="61" t="s">
        <v>629</v>
      </c>
      <c r="BZ3" s="61" t="s">
        <v>630</v>
      </c>
      <c r="CA3" s="61" t="s">
        <v>87</v>
      </c>
      <c r="CB3" s="61" t="s">
        <v>88</v>
      </c>
      <c r="CC3" s="61" t="s">
        <v>89</v>
      </c>
      <c r="CD3" s="61" t="s">
        <v>90</v>
      </c>
      <c r="CE3" s="61" t="s">
        <v>91</v>
      </c>
      <c r="CF3" s="221" t="s">
        <v>593</v>
      </c>
      <c r="CG3" s="221" t="s">
        <v>754</v>
      </c>
      <c r="CH3" s="221" t="s">
        <v>911</v>
      </c>
      <c r="CI3" s="262" t="s">
        <v>92</v>
      </c>
    </row>
    <row r="4" spans="1:87" s="111" customFormat="1" ht="270" x14ac:dyDescent="0.25">
      <c r="A4" s="49" t="s">
        <v>93</v>
      </c>
      <c r="B4" s="100" t="s">
        <v>94</v>
      </c>
      <c r="C4" s="102" t="s">
        <v>95</v>
      </c>
      <c r="D4" s="101" t="s">
        <v>96</v>
      </c>
      <c r="E4" s="102"/>
      <c r="F4" s="102"/>
      <c r="G4" s="102" t="s">
        <v>97</v>
      </c>
      <c r="H4" s="102" t="s">
        <v>98</v>
      </c>
      <c r="I4" s="103" t="s">
        <v>99</v>
      </c>
      <c r="J4" s="103" t="s">
        <v>100</v>
      </c>
      <c r="K4" s="103" t="s">
        <v>101</v>
      </c>
      <c r="L4" s="103" t="s">
        <v>102</v>
      </c>
      <c r="M4" s="102" t="s">
        <v>103</v>
      </c>
      <c r="N4" s="102" t="s">
        <v>104</v>
      </c>
      <c r="O4" s="100" t="s">
        <v>105</v>
      </c>
      <c r="P4" s="100" t="s">
        <v>106</v>
      </c>
      <c r="Q4" s="100" t="s">
        <v>107</v>
      </c>
      <c r="R4" s="104" t="s">
        <v>108</v>
      </c>
      <c r="S4" s="104" t="s">
        <v>109</v>
      </c>
      <c r="T4" s="102" t="s">
        <v>110</v>
      </c>
      <c r="U4" s="358" t="s">
        <v>797</v>
      </c>
      <c r="V4" s="100" t="s">
        <v>111</v>
      </c>
      <c r="W4" s="101" t="s">
        <v>808</v>
      </c>
      <c r="X4" s="57" t="s">
        <v>776</v>
      </c>
      <c r="Y4" s="58" t="s">
        <v>112</v>
      </c>
      <c r="Z4" s="52" t="s">
        <v>773</v>
      </c>
      <c r="AA4" s="58" t="s">
        <v>113</v>
      </c>
      <c r="AB4" s="58" t="s">
        <v>114</v>
      </c>
      <c r="AC4" s="57" t="s">
        <v>719</v>
      </c>
      <c r="AD4" s="58" t="s">
        <v>115</v>
      </c>
      <c r="AE4" s="57" t="s">
        <v>731</v>
      </c>
      <c r="AF4" s="52" t="s">
        <v>604</v>
      </c>
      <c r="AG4" s="102" t="s">
        <v>116</v>
      </c>
      <c r="AH4" s="57" t="s">
        <v>732</v>
      </c>
      <c r="AI4" s="52" t="s">
        <v>659</v>
      </c>
      <c r="AJ4" s="102" t="s">
        <v>117</v>
      </c>
      <c r="AK4" s="60" t="s">
        <v>713</v>
      </c>
      <c r="AL4" s="60" t="s">
        <v>717</v>
      </c>
      <c r="AM4" s="52" t="s">
        <v>761</v>
      </c>
      <c r="AN4" s="52" t="s">
        <v>762</v>
      </c>
      <c r="AO4" s="105" t="s">
        <v>699</v>
      </c>
      <c r="AP4" s="105" t="s">
        <v>763</v>
      </c>
      <c r="AQ4" s="105" t="s">
        <v>764</v>
      </c>
      <c r="AR4" s="106" t="s">
        <v>765</v>
      </c>
      <c r="AS4" s="105" t="s">
        <v>766</v>
      </c>
      <c r="AT4" s="151" t="s">
        <v>767</v>
      </c>
      <c r="AU4" s="359" t="s">
        <v>118</v>
      </c>
      <c r="AV4" s="59" t="s">
        <v>119</v>
      </c>
      <c r="AW4" s="59" t="s">
        <v>119</v>
      </c>
      <c r="AX4" s="59" t="s">
        <v>119</v>
      </c>
      <c r="AY4" s="59" t="s">
        <v>119</v>
      </c>
      <c r="AZ4" s="59" t="s">
        <v>119</v>
      </c>
      <c r="BA4" s="107" t="s">
        <v>812</v>
      </c>
      <c r="BB4" s="107" t="s">
        <v>820</v>
      </c>
      <c r="BC4" s="107" t="s">
        <v>120</v>
      </c>
      <c r="BD4" s="107" t="s">
        <v>813</v>
      </c>
      <c r="BE4" s="108" t="s">
        <v>121</v>
      </c>
      <c r="BF4" s="350" t="s">
        <v>771</v>
      </c>
      <c r="BG4" s="108" t="s">
        <v>122</v>
      </c>
      <c r="BH4" s="240" t="s">
        <v>704</v>
      </c>
      <c r="BI4" s="108" t="s">
        <v>884</v>
      </c>
      <c r="BJ4" s="108" t="s">
        <v>883</v>
      </c>
      <c r="BK4" s="108" t="s">
        <v>895</v>
      </c>
      <c r="BL4" s="242" t="s">
        <v>729</v>
      </c>
      <c r="BM4" s="240" t="s">
        <v>686</v>
      </c>
      <c r="BN4" s="108" t="s">
        <v>687</v>
      </c>
      <c r="BO4" s="108" t="s">
        <v>900</v>
      </c>
      <c r="BP4" s="108" t="s">
        <v>899</v>
      </c>
      <c r="BQ4" s="269" t="s">
        <v>730</v>
      </c>
      <c r="BR4" s="240" t="s">
        <v>821</v>
      </c>
      <c r="BS4" s="241" t="s">
        <v>822</v>
      </c>
      <c r="BT4" s="240" t="s">
        <v>823</v>
      </c>
      <c r="BU4" s="108" t="s">
        <v>824</v>
      </c>
      <c r="BV4" s="241" t="s">
        <v>825</v>
      </c>
      <c r="BW4" s="242" t="s">
        <v>826</v>
      </c>
      <c r="BX4" s="242" t="s">
        <v>827</v>
      </c>
      <c r="BY4" s="108" t="s">
        <v>828</v>
      </c>
      <c r="BZ4" s="108" t="s">
        <v>829</v>
      </c>
      <c r="CA4" s="109" t="s">
        <v>657</v>
      </c>
      <c r="CB4" s="109" t="s">
        <v>658</v>
      </c>
      <c r="CC4" s="110" t="s">
        <v>123</v>
      </c>
      <c r="CD4" s="109" t="s">
        <v>124</v>
      </c>
      <c r="CE4" s="110" t="s">
        <v>125</v>
      </c>
      <c r="CF4" s="222" t="s">
        <v>703</v>
      </c>
      <c r="CG4" s="222" t="s">
        <v>755</v>
      </c>
      <c r="CH4" s="222" t="s">
        <v>887</v>
      </c>
      <c r="CI4" s="264" t="s">
        <v>710</v>
      </c>
    </row>
    <row r="5" spans="1:87" s="114" customFormat="1" ht="31.5" hidden="1" customHeight="1" thickBot="1" x14ac:dyDescent="0.3">
      <c r="A5" s="112" t="s">
        <v>126</v>
      </c>
      <c r="B5" s="113" t="s">
        <v>127</v>
      </c>
      <c r="C5" s="113" t="s">
        <v>127</v>
      </c>
      <c r="D5" s="113" t="s">
        <v>127</v>
      </c>
      <c r="E5" s="113" t="s">
        <v>127</v>
      </c>
      <c r="F5" s="113" t="s">
        <v>127</v>
      </c>
      <c r="G5" s="113" t="s">
        <v>127</v>
      </c>
      <c r="H5" s="113" t="s">
        <v>127</v>
      </c>
      <c r="I5" s="113" t="s">
        <v>127</v>
      </c>
      <c r="J5" s="113" t="s">
        <v>127</v>
      </c>
      <c r="K5" s="113" t="s">
        <v>127</v>
      </c>
      <c r="L5" s="113" t="s">
        <v>127</v>
      </c>
      <c r="M5" s="113" t="s">
        <v>127</v>
      </c>
      <c r="N5" s="113" t="s">
        <v>127</v>
      </c>
      <c r="O5" s="113" t="s">
        <v>127</v>
      </c>
      <c r="P5" s="113" t="s">
        <v>127</v>
      </c>
      <c r="Q5" s="113" t="s">
        <v>127</v>
      </c>
      <c r="R5" s="113" t="s">
        <v>127</v>
      </c>
      <c r="S5" s="113" t="s">
        <v>127</v>
      </c>
      <c r="T5" s="113" t="s">
        <v>127</v>
      </c>
      <c r="U5" s="356" t="s">
        <v>127</v>
      </c>
      <c r="V5" s="113" t="s">
        <v>127</v>
      </c>
      <c r="W5" s="113" t="s">
        <v>127</v>
      </c>
      <c r="X5" s="112" t="s">
        <v>775</v>
      </c>
      <c r="Y5" s="113" t="s">
        <v>127</v>
      </c>
      <c r="Z5" s="112" t="s">
        <v>774</v>
      </c>
      <c r="AA5" s="113" t="s">
        <v>127</v>
      </c>
      <c r="AB5" s="112" t="s">
        <v>128</v>
      </c>
      <c r="AC5" s="113" t="s">
        <v>127</v>
      </c>
      <c r="AD5" s="113" t="s">
        <v>127</v>
      </c>
      <c r="AE5" s="113" t="s">
        <v>127</v>
      </c>
      <c r="AF5" s="113" t="s">
        <v>127</v>
      </c>
      <c r="AG5" s="113" t="s">
        <v>127</v>
      </c>
      <c r="AH5" s="113" t="s">
        <v>127</v>
      </c>
      <c r="AI5" s="113" t="s">
        <v>127</v>
      </c>
      <c r="AJ5" s="113" t="s">
        <v>127</v>
      </c>
      <c r="AK5" s="113" t="s">
        <v>129</v>
      </c>
      <c r="AL5" s="113" t="s">
        <v>129</v>
      </c>
      <c r="AM5" s="113" t="s">
        <v>127</v>
      </c>
      <c r="AN5" s="113" t="s">
        <v>127</v>
      </c>
      <c r="AO5" s="113" t="s">
        <v>127</v>
      </c>
      <c r="AP5" s="113" t="s">
        <v>127</v>
      </c>
      <c r="AQ5" s="113" t="s">
        <v>127</v>
      </c>
      <c r="AR5" s="113" t="s">
        <v>127</v>
      </c>
      <c r="AS5" s="113" t="s">
        <v>127</v>
      </c>
      <c r="AT5" s="113" t="s">
        <v>127</v>
      </c>
      <c r="AU5" s="356" t="s">
        <v>127</v>
      </c>
      <c r="AV5" s="113" t="s">
        <v>127</v>
      </c>
      <c r="AW5" s="113" t="s">
        <v>127</v>
      </c>
      <c r="AX5" s="113" t="s">
        <v>127</v>
      </c>
      <c r="AY5" s="113" t="s">
        <v>127</v>
      </c>
      <c r="AZ5" s="113" t="s">
        <v>127</v>
      </c>
      <c r="BA5" s="113" t="s">
        <v>127</v>
      </c>
      <c r="BB5" s="113" t="s">
        <v>127</v>
      </c>
      <c r="BC5" s="113" t="s">
        <v>127</v>
      </c>
      <c r="BD5" s="113" t="s">
        <v>127</v>
      </c>
      <c r="BE5" s="113" t="s">
        <v>130</v>
      </c>
      <c r="BF5" s="113" t="s">
        <v>130</v>
      </c>
      <c r="BG5" s="113" t="s">
        <v>130</v>
      </c>
      <c r="BH5" s="213" t="s">
        <v>130</v>
      </c>
      <c r="BI5" s="113" t="s">
        <v>130</v>
      </c>
      <c r="BJ5" s="209"/>
      <c r="BK5" s="209"/>
      <c r="BL5" s="209" t="s">
        <v>130</v>
      </c>
      <c r="BM5" s="213" t="s">
        <v>130</v>
      </c>
      <c r="BN5" s="113" t="s">
        <v>130</v>
      </c>
      <c r="BO5" s="209"/>
      <c r="BP5" s="209"/>
      <c r="BQ5" s="209" t="s">
        <v>130</v>
      </c>
      <c r="BR5" s="213" t="s">
        <v>130</v>
      </c>
      <c r="BS5" s="214" t="s">
        <v>130</v>
      </c>
      <c r="BT5" s="213" t="s">
        <v>130</v>
      </c>
      <c r="BU5" s="113" t="s">
        <v>130</v>
      </c>
      <c r="BV5" s="214" t="s">
        <v>130</v>
      </c>
      <c r="BW5" s="209" t="s">
        <v>130</v>
      </c>
      <c r="BX5" s="209" t="s">
        <v>130</v>
      </c>
      <c r="BY5" s="113" t="s">
        <v>130</v>
      </c>
      <c r="BZ5" s="113" t="s">
        <v>130</v>
      </c>
      <c r="CA5" s="113" t="s">
        <v>127</v>
      </c>
      <c r="CB5" s="113" t="s">
        <v>127</v>
      </c>
      <c r="CC5" s="113" t="s">
        <v>127</v>
      </c>
      <c r="CD5" s="113" t="s">
        <v>127</v>
      </c>
      <c r="CE5" s="113" t="s">
        <v>127</v>
      </c>
      <c r="CF5" s="206" t="s">
        <v>127</v>
      </c>
      <c r="CG5" s="206" t="s">
        <v>127</v>
      </c>
      <c r="CH5" s="206"/>
      <c r="CI5" s="263" t="s">
        <v>708</v>
      </c>
    </row>
    <row r="6" spans="1:87" s="56" customFormat="1" ht="48" customHeight="1" x14ac:dyDescent="0.25">
      <c r="A6" s="323" t="s">
        <v>131</v>
      </c>
      <c r="B6" s="319"/>
      <c r="C6" s="319"/>
      <c r="D6" s="317"/>
      <c r="E6" s="319"/>
      <c r="F6" s="319"/>
      <c r="G6" s="357"/>
      <c r="H6" s="322"/>
      <c r="I6" s="318" t="str">
        <f>IF(ISBLANK(Project_Address_1),"",Project_Address_1)</f>
        <v/>
      </c>
      <c r="J6" s="318" t="str">
        <f>IF(ISBLANK(Project_Address_2),"",Project_Address_2)</f>
        <v/>
      </c>
      <c r="K6" s="318" t="str">
        <f>IF(ISBLANK(Project_City),"",Project_City)</f>
        <v/>
      </c>
      <c r="L6" s="324" t="str">
        <f>IF(ISBLANK(Project_ZIP),"",LEFT(Project_ZIP,5))</f>
        <v/>
      </c>
      <c r="M6" s="318" t="s">
        <v>133</v>
      </c>
      <c r="N6" s="325"/>
      <c r="O6" s="325"/>
      <c r="P6" s="325"/>
      <c r="Q6" s="318"/>
      <c r="R6" s="326"/>
      <c r="S6" s="318" t="s">
        <v>134</v>
      </c>
      <c r="T6" s="318"/>
      <c r="U6" s="362" t="s">
        <v>139</v>
      </c>
      <c r="V6" s="361"/>
      <c r="W6" s="320"/>
      <c r="X6" s="321"/>
      <c r="Y6" s="318"/>
      <c r="Z6" s="314" t="str">
        <f>IF(ISBLANK(Y6), "", IF(OR(Y6="No FICO",Y6="580-640",Y6="641-700"), "Yes - Cred Chal", "No"))</f>
        <v/>
      </c>
      <c r="AA6" s="318" t="s">
        <v>25</v>
      </c>
      <c r="AB6" s="318"/>
      <c r="AC6" s="318"/>
      <c r="AD6" s="318">
        <v>1</v>
      </c>
      <c r="AE6" s="318"/>
      <c r="AF6" s="316" t="str" cm="1">
        <f t="array" ref="AF6">IF(COUNTIF(Big_4_IOUs_VL,AE6),"Big 4 IOU",
IF(COUNTIF(POUs_VL,AE6),"POU or Co-op",
IF(COUNTIF(Small_IOUs_VL,AE6),"Small IOU","")))</f>
        <v/>
      </c>
      <c r="AG6" s="317"/>
      <c r="AH6" s="318"/>
      <c r="AI6" s="316" t="str" cm="1">
        <f t="array" ref="AI6">IF(COUNTIF(Big_4_IOUs_VL,AH6),"Big 4 IOU",
IF(COUNTIF(POUs_VL,AH6),"POU or Co-op",
IF(COUNTIF(Small_IOUs_VL,AH6),"Small IOU",
IF(AH6="None","None",""))))</f>
        <v/>
      </c>
      <c r="AJ6" s="317"/>
      <c r="AK6" s="319"/>
      <c r="AL6" s="55"/>
      <c r="AM6" s="315" t="str">
        <f>IF(ISBLANK(Invoice_Contractor_Name),"",Invoice_Contractor_Name)</f>
        <v/>
      </c>
      <c r="AN6" s="316" t="str">
        <f>IF(ISBLANK(Invoice_Contractor_CSLB),"",Invoice_Contractor_CSLB)</f>
        <v/>
      </c>
      <c r="AO6" s="314"/>
      <c r="AP6" s="314" t="s">
        <v>25</v>
      </c>
      <c r="AQ6" s="314"/>
      <c r="AR6" s="314"/>
      <c r="AS6" s="314"/>
      <c r="AT6" s="301"/>
      <c r="AU6" s="313" t="str">
        <f>IF(Existing_Solar_Yes_No="Yes","Yes","No")</f>
        <v>No</v>
      </c>
      <c r="AV6" s="313" t="str">
        <f>EEMs_ID_1&amp;IF(EEMs_ID_2="","",";")&amp;
IF(EEMs_ID_2="","",EEMs_ID_2)&amp;IF(EEMs_ID_3="","",";")&amp;
IF(EEMs_ID_3="","",EEMs_ID_3)&amp;IF(EEMs_ID_4="","",";")&amp;
IF(EEMs_ID_4="","",EEMs_ID_4)&amp;IF(EEMs_ID_5="","",";")&amp;
IF(EEMs_ID_5="","",EEMs_ID_5)&amp;IF(EEMs_ID_6="","",";")&amp;
IF(EEMs_ID_6="","",EEMs_ID_6)&amp;IF(EEMs_ID_7="","",";")&amp;
IF(EEMs_ID_7="","",EEMs_ID_7)&amp;IF(EEMs_ID_8="","",";")&amp;
IF(EEMs_ID_8="","",EEMs_ID_8)&amp;IF(EEMs_ID_9="","",";")&amp;
IF(EEMs_ID_9="","",EEMs_ID_9)&amp;IF(EEMs_ID_10="","",";")&amp;
IF(EEMs_ID_10="","",EEMs_ID_10)</f>
        <v/>
      </c>
      <c r="AW6" s="313" t="str">
        <f>EEMs_Measure_1&amp;IF(EEMs_ID_2="","",";")&amp;
IF(EEMs_ID_2="","",EEMs_Measure_2)&amp;IF(EEMs_ID_3="","",";")&amp;
IF(EEMs_ID_3="","",EEMs_Measure_3)&amp;IF(EEMs_ID_4="","",";")&amp;
IF(EEMs_ID_4="","",EEMs_Measure_4)&amp;IF(EEMs_ID_5="","",";")&amp;
IF(EEMs_ID_5="","",EEMs_Measure_5)&amp;IF(EEMs_ID_6="","",";")&amp;
IF(EEMs_ID_6="","",EEMs_Measure_6)&amp;IF(EEMs_ID_7="","",";")&amp;
IF(EEMs_ID_7="","",EEMs_Measure_7)&amp;IF(EEMs_ID_8="","",";")&amp;
IF(EEMs_ID_8="","",EEMs_Measure_8)&amp;IF(EEMs_ID_9="","",";")&amp;
IF(EEMs_ID_9="","",EEMs_Measure_9)&amp;IF(EEMs_ID_10="","",";")&amp;
IF(EEMs_ID_10="","",EEMs_Measure_10)</f>
        <v/>
      </c>
      <c r="AX6" s="313" t="str">
        <f>IF(AND(EEMs_ID_1&lt;&gt;"",EEMs_Cost_1&lt;&gt;"",EEMs_Quantity_1=""),1,IF(EEMs_ID_1="","",EEMs_Quantity_1))&amp;IF(EEMs_ID_2="","",";")&amp;
IF(AND(EEMs_ID_2&lt;&gt;"",EEMs_Cost_2&lt;&gt;"",EEMs_Quantity_2=""),1,IF(EEMs_ID_2="","",EEMs_Quantity_2))&amp;IF(EEMs_ID_3="","",";")&amp;
IF(AND(EEMs_ID_3&lt;&gt;"",EEMs_Cost_3&lt;&gt;"",EEMs_Quantity_3=""),1,IF(EEMs_ID_3="","",EEMs_Quantity_3))&amp;IF(EEMs_ID_4="","",";")&amp;
IF(AND(EEMs_ID_4&lt;&gt;"",EEMs_Cost_4&lt;&gt;"",EEMs_Quantity_4=""),1,IF(EEMs_ID_4="","",EEMs_Quantity_4))&amp;IF(EEMs_ID_5="","",";")&amp;
IF(AND(EEMs_ID_5&lt;&gt;"",EEMs_Cost_5&lt;&gt;"",EEMs_Quantity_5=""),1,IF(EEMs_ID_5="","",EEMs_Quantity_5))&amp;IF(EEMs_ID_6="","",";")&amp;
IF(AND(EEMs_ID_6&lt;&gt;"",EEMs_Cost_6&lt;&gt;"",EEMs_Quantity_6=""),1,IF(EEMs_ID_6="","",EEMs_Quantity_6))&amp;IF(EEMs_ID_7="","",";")&amp;
IF(AND(EEMs_ID_7&lt;&gt;"",EEMs_Cost_7&lt;&gt;"",EEMs_Quantity_7=""),1,IF(EEMs_ID_7="","",EEMs_Quantity_7))&amp;IF(EEMs_ID_8="","",";")&amp;
IF(AND(EEMs_ID_8&lt;&gt;"",EEMs_Cost_8&lt;&gt;"",EEMs_Quantity_8=""),1,IF(EEMs_ID_8="","",EEMs_Quantity_8))&amp;IF(EEMs_ID_9="","",";")&amp;
IF(AND(EEMs_ID_9&lt;&gt;"",EEMs_Cost_9&lt;&gt;"",EEMs_Quantity_9=""),1,IF(EEMs_ID_9="","",EEMs_Quantity_9))&amp;IF(EEMs_ID_10="","",";")&amp;
IF(AND(EEMs_ID_10&lt;&gt;"",EEMs_Cost_10&lt;&gt;"",EEMs_Quantity_10=""),1,IF(EEMs_ID_10="","",EEMs_Quantity_10))</f>
        <v/>
      </c>
      <c r="AY6" s="313" t="str">
        <f>IF(EEMs_ID_1="","",EEMs_Fuel_Switch_1)&amp;IF(EEMs_ID_2="","",";")&amp;
IF(EEMs_ID_2="","",EEMs_Fuel_Switch_2)&amp;IF(EEMs_ID_3="","",";")&amp;
IF(EEMs_ID_3="","",EEMs_Fuel_Switch_3)&amp;IF(EEMs_ID_4="","",";")&amp;
IF(EEMs_ID_4="","",EEMs_Fuel_Switch_4)&amp;IF(EEMs_ID_5="","",";")&amp;
IF(EEMs_ID_5="","",EEMs_Fuel_Switch_5)&amp;IF(EEMs_ID_6="","",";")&amp;
IF(EEMs_ID_6="","",EEMs_Fuel_Switch_6)&amp;IF(EEMs_ID_7="","",";")&amp;
IF(EEMs_ID_7="","",EEMs_Fuel_Switch_7)&amp;IF(EEMs_ID_8="","",";")&amp;
IF(EEMs_ID_8="","",EEMs_Fuel_Switch_8)&amp;IF(EEMs_ID_9="","",";")&amp;
IF(EEMs_ID_9="","",EEMs_Fuel_Switch_9)&amp;IF(EEMs_ID_10="","",";")&amp;
IF(EEMs_ID_10="","",EEMs_Fuel_Switch_10)</f>
        <v/>
      </c>
      <c r="AZ6" s="313" t="str">
        <f>IF(AND(EEMs_ID_1&lt;&gt;"",EEMs_Cost_1="",EEMs_ID_1&lt;&gt;""),0,IF(EEMs_ID_1="","",EEMs_Cost_1))&amp;IF(EEMs_ID_2="","",";")&amp;
IF(AND(EEMs_ID_2&lt;&gt;"",EEMs_Cost_2="",EEMs_ID_2&lt;&gt;""),0,IF(EEMs_ID_2="","",EEMs_Cost_2))&amp;IF(EEMs_ID_3="","",";")&amp;
IF(AND(EEMs_ID_3&lt;&gt;"",EEMs_Cost_3="",EEMs_ID_3&lt;&gt;""),0,IF(EEMs_ID_3="","",EEMs_Cost_3))&amp;IF(EEMs_ID_4="","",";")&amp;
IF(AND(EEMs_ID_4&lt;&gt;"",EEMs_Cost_4="",EEMs_ID_4&lt;&gt;""),0,IF(EEMs_ID_4="","",EEMs_Cost_4))&amp;IF(EEMs_ID_5="","",";")&amp;
IF(AND(EEMs_ID_5&lt;&gt;"",EEMs_Cost_5="",EEMs_ID_5&lt;&gt;""),0,IF(EEMs_ID_5="","",EEMs_Cost_5))&amp;IF(EEMs_ID_6="","",";")&amp;
IF(AND(EEMs_ID_6&lt;&gt;"",EEMs_Cost_6="",EEMs_ID_6&lt;&gt;""),0,IF(EEMs_ID_6="","",EEMs_Cost_6))&amp;IF(EEMs_ID_7="","",";")&amp;
IF(AND(EEMs_ID_7&lt;&gt;"",EEMs_Cost_7="",EEMs_ID_7&lt;&gt;""),0,IF(EEMs_ID_7="","",EEMs_Cost_7))&amp;IF(EEMs_ID_8="","",";")&amp;
IF(AND(EEMs_ID_8&lt;&gt;"",EEMs_Cost_8="",EEMs_ID_8&lt;&gt;""),0,IF(EEMs_ID_8="","",EEMs_Cost_8))&amp;IF(EEMs_ID_9="","",";")&amp;
IF(AND(EEMs_ID_9&lt;&gt;"",EEMs_Cost_9="",EEMs_ID_9&lt;&gt;""),0,IF(EEMs_ID_9="","",EEMs_Cost_9))&amp;IF(EEMs_ID_10="","",";")&amp;
IF(AND(EEMs_ID_10&lt;&gt;"",EEMs_Cost_10="",EEMs_ID_10&lt;&gt;""),0,IF(EEMs_ID_10="","",EEMs_Cost_10))</f>
        <v/>
      </c>
      <c r="BA6" s="311">
        <f>Invoice_Legal_Practical_Cost</f>
        <v>0</v>
      </c>
      <c r="BB6" s="311">
        <f>Invoice_Total_Cost_EEMs_and_Directly_Related</f>
        <v>0</v>
      </c>
      <c r="BC6" s="311">
        <f>Invoice_Other_Home_Improvement_NonDG_Cost</f>
        <v>0</v>
      </c>
      <c r="BD6" s="311">
        <f>Invoice_Total_Cost</f>
        <v>0</v>
      </c>
      <c r="BE6" s="312">
        <f>IF(AND(Claim_Eligible_Principal_Amount&gt;0,Total_Loan_Principal_Amount&gt;0),LLR_Basis/Total_Loan_Principal_Amount,0)</f>
        <v>0</v>
      </c>
      <c r="BF6" s="310">
        <f>LLR_Percent</f>
        <v>0</v>
      </c>
      <c r="BG6" s="309">
        <f>LLR_Contribution_Amount</f>
        <v>0</v>
      </c>
      <c r="BH6" s="305">
        <f>Cost_Ratio_PPP</f>
        <v>0</v>
      </c>
      <c r="BI6" s="304">
        <f>Cost_Ratio_TECH</f>
        <v>0</v>
      </c>
      <c r="BJ6" s="364">
        <f>Cost_ratio_TECH_Bridge</f>
        <v>0</v>
      </c>
      <c r="BK6" s="364">
        <f>Cost_Ratio_CEC</f>
        <v>0</v>
      </c>
      <c r="BL6" s="306">
        <f>IF(OR(Electric_Utility_Name="City of Palo Alto",Gas_Utility_Name="City of Palo Alto"),1,0)</f>
        <v>0</v>
      </c>
      <c r="BM6" s="307">
        <f>LLR_PPP_Amount</f>
        <v>0</v>
      </c>
      <c r="BN6" s="308">
        <f>LLR_TECH_Amount</f>
        <v>0</v>
      </c>
      <c r="BO6" s="370">
        <f>LLR_TECH_Bridge_Amt</f>
        <v>0</v>
      </c>
      <c r="BP6" s="370">
        <f>LLR_CEC_Amount</f>
        <v>0</v>
      </c>
      <c r="BQ6" s="309">
        <f>IF(OR(Electric_Utility_Name="City of Palo Alto",Gas_Utility_Name="City of Palo Alto"),BG6,0)</f>
        <v>0</v>
      </c>
      <c r="BR6" s="305">
        <f>Cost_Ratio_Electric</f>
        <v>0</v>
      </c>
      <c r="BS6" s="306">
        <f>Cost_Ratio_Gas</f>
        <v>0</v>
      </c>
      <c r="BT6" s="305">
        <f>Cost_Ratio_IOU</f>
        <v>0</v>
      </c>
      <c r="BU6" s="304">
        <f>Cost_Ratio_NonIOU_Electric</f>
        <v>0</v>
      </c>
      <c r="BV6" s="306">
        <f>Cost_Ratio_NonIOU_Gas</f>
        <v>0</v>
      </c>
      <c r="BW6" s="305">
        <f>Cost_Ratio_POU_Electric</f>
        <v>0</v>
      </c>
      <c r="BX6" s="304">
        <f>Cost_Ratio_SmIOU_Electric</f>
        <v>0</v>
      </c>
      <c r="BY6" s="304">
        <f>Cost_Ratio_POU_Gas</f>
        <v>0</v>
      </c>
      <c r="BZ6" s="304">
        <f>Cost_Ratio_SmIOU_Gas</f>
        <v>0</v>
      </c>
      <c r="CA6" s="299">
        <v>1220</v>
      </c>
      <c r="CB6" s="299" t="s">
        <v>137</v>
      </c>
      <c r="CC6" s="299" t="s">
        <v>138</v>
      </c>
      <c r="CD6" s="300"/>
      <c r="CE6" s="301"/>
      <c r="CF6" s="302" t="s">
        <v>259</v>
      </c>
      <c r="CG6" s="334" t="s">
        <v>259</v>
      </c>
      <c r="CH6" s="334" t="s">
        <v>25</v>
      </c>
      <c r="CI6" s="303"/>
    </row>
    <row r="7" spans="1:87" s="30" customFormat="1" ht="48.6" customHeight="1" x14ac:dyDescent="0.25">
      <c r="A7" s="48" t="s">
        <v>140</v>
      </c>
      <c r="B7" s="57" t="s">
        <v>141</v>
      </c>
      <c r="C7" s="58" t="s">
        <v>142</v>
      </c>
      <c r="D7" s="57" t="s">
        <v>141</v>
      </c>
      <c r="E7" s="57" t="s">
        <v>142</v>
      </c>
      <c r="F7" s="57" t="s">
        <v>142</v>
      </c>
      <c r="G7" s="57" t="s">
        <v>142</v>
      </c>
      <c r="H7" s="57" t="s">
        <v>142</v>
      </c>
      <c r="I7" s="57" t="s">
        <v>143</v>
      </c>
      <c r="J7" s="57" t="s">
        <v>143</v>
      </c>
      <c r="K7" s="57" t="s">
        <v>143</v>
      </c>
      <c r="L7" s="57" t="s">
        <v>143</v>
      </c>
      <c r="M7" s="58" t="s">
        <v>142</v>
      </c>
      <c r="N7" s="58" t="s">
        <v>142</v>
      </c>
      <c r="O7" s="58" t="s">
        <v>142</v>
      </c>
      <c r="P7" s="58" t="s">
        <v>142</v>
      </c>
      <c r="Q7" s="58" t="s">
        <v>142</v>
      </c>
      <c r="R7" s="58" t="s">
        <v>142</v>
      </c>
      <c r="S7" s="58" t="s">
        <v>142</v>
      </c>
      <c r="T7" s="57" t="s">
        <v>142</v>
      </c>
      <c r="U7" s="57" t="s">
        <v>866</v>
      </c>
      <c r="V7" s="58" t="s">
        <v>142</v>
      </c>
      <c r="W7" s="58" t="s">
        <v>142</v>
      </c>
      <c r="X7" s="57" t="s">
        <v>635</v>
      </c>
      <c r="Y7" s="58" t="s">
        <v>142</v>
      </c>
      <c r="Z7" s="52" t="s">
        <v>772</v>
      </c>
      <c r="AA7" s="58" t="s">
        <v>142</v>
      </c>
      <c r="AB7" s="58" t="s">
        <v>142</v>
      </c>
      <c r="AC7" s="28" t="s">
        <v>142</v>
      </c>
      <c r="AD7" s="28" t="s">
        <v>142</v>
      </c>
      <c r="AE7" s="58" t="s">
        <v>142</v>
      </c>
      <c r="AF7" s="52" t="s">
        <v>145</v>
      </c>
      <c r="AG7" s="58" t="s">
        <v>142</v>
      </c>
      <c r="AH7" s="58" t="s">
        <v>142</v>
      </c>
      <c r="AI7" s="52" t="s">
        <v>145</v>
      </c>
      <c r="AJ7" s="58" t="s">
        <v>142</v>
      </c>
      <c r="AK7" s="60" t="s">
        <v>144</v>
      </c>
      <c r="AL7" s="60" t="s">
        <v>144</v>
      </c>
      <c r="AM7" s="52" t="s">
        <v>145</v>
      </c>
      <c r="AN7" s="52" t="s">
        <v>145</v>
      </c>
      <c r="AO7" s="52" t="s">
        <v>146</v>
      </c>
      <c r="AP7" s="52" t="s">
        <v>146</v>
      </c>
      <c r="AQ7" s="52" t="s">
        <v>146</v>
      </c>
      <c r="AR7" s="52" t="s">
        <v>146</v>
      </c>
      <c r="AS7" s="52" t="s">
        <v>146</v>
      </c>
      <c r="AT7" s="52" t="s">
        <v>146</v>
      </c>
      <c r="AU7" s="59" t="s">
        <v>145</v>
      </c>
      <c r="AV7" s="59" t="s">
        <v>145</v>
      </c>
      <c r="AW7" s="59" t="s">
        <v>145</v>
      </c>
      <c r="AX7" s="59" t="s">
        <v>145</v>
      </c>
      <c r="AY7" s="59" t="s">
        <v>145</v>
      </c>
      <c r="AZ7" s="59" t="s">
        <v>145</v>
      </c>
      <c r="BA7" s="59" t="s">
        <v>145</v>
      </c>
      <c r="BB7" s="59" t="s">
        <v>145</v>
      </c>
      <c r="BC7" s="59" t="s">
        <v>145</v>
      </c>
      <c r="BD7" s="59" t="s">
        <v>145</v>
      </c>
      <c r="BE7" s="61" t="s">
        <v>147</v>
      </c>
      <c r="BF7" s="61" t="s">
        <v>147</v>
      </c>
      <c r="BG7" s="61" t="s">
        <v>147</v>
      </c>
      <c r="BH7" s="215" t="s">
        <v>147</v>
      </c>
      <c r="BI7" s="61" t="s">
        <v>147</v>
      </c>
      <c r="BJ7" s="61" t="s">
        <v>147</v>
      </c>
      <c r="BK7" s="61" t="s">
        <v>147</v>
      </c>
      <c r="BL7" s="61" t="s">
        <v>147</v>
      </c>
      <c r="BM7" s="215" t="s">
        <v>147</v>
      </c>
      <c r="BN7" s="61" t="s">
        <v>147</v>
      </c>
      <c r="BO7" s="61" t="s">
        <v>147</v>
      </c>
      <c r="BP7" s="61" t="s">
        <v>147</v>
      </c>
      <c r="BQ7" s="61" t="s">
        <v>147</v>
      </c>
      <c r="BR7" s="215" t="s">
        <v>147</v>
      </c>
      <c r="BS7" s="216" t="s">
        <v>147</v>
      </c>
      <c r="BT7" s="215" t="s">
        <v>147</v>
      </c>
      <c r="BU7" s="61" t="s">
        <v>147</v>
      </c>
      <c r="BV7" s="216" t="s">
        <v>147</v>
      </c>
      <c r="BW7" s="208" t="s">
        <v>147</v>
      </c>
      <c r="BX7" s="208" t="s">
        <v>147</v>
      </c>
      <c r="BY7" s="61" t="s">
        <v>147</v>
      </c>
      <c r="BZ7" s="61" t="s">
        <v>147</v>
      </c>
      <c r="CA7" s="61" t="s">
        <v>146</v>
      </c>
      <c r="CB7" s="61" t="s">
        <v>148</v>
      </c>
      <c r="CC7" s="61" t="s">
        <v>149</v>
      </c>
      <c r="CD7" s="61" t="s">
        <v>146</v>
      </c>
      <c r="CE7" s="61" t="s">
        <v>146</v>
      </c>
      <c r="CF7" s="221" t="s">
        <v>146</v>
      </c>
      <c r="CG7" s="221" t="s">
        <v>146</v>
      </c>
      <c r="CH7" s="221"/>
      <c r="CI7" s="262" t="s">
        <v>144</v>
      </c>
    </row>
    <row r="8" spans="1:87" s="51" customFormat="1" ht="56.25" hidden="1" customHeight="1" thickBot="1" x14ac:dyDescent="0.3">
      <c r="A8" s="48" t="s">
        <v>150</v>
      </c>
      <c r="B8" s="42" t="s">
        <v>151</v>
      </c>
      <c r="C8" s="134" t="s">
        <v>152</v>
      </c>
      <c r="D8" s="134" t="s">
        <v>153</v>
      </c>
      <c r="E8" s="134" t="s">
        <v>154</v>
      </c>
      <c r="F8" s="134" t="s">
        <v>155</v>
      </c>
      <c r="G8" s="134" t="s">
        <v>156</v>
      </c>
      <c r="H8" s="134" t="s">
        <v>157</v>
      </c>
      <c r="I8" s="524" t="s">
        <v>158</v>
      </c>
      <c r="J8" s="524"/>
      <c r="K8" s="134" t="s">
        <v>159</v>
      </c>
      <c r="L8" s="134" t="s">
        <v>160</v>
      </c>
      <c r="M8" s="44" t="s">
        <v>161</v>
      </c>
      <c r="N8" s="50" t="s">
        <v>162</v>
      </c>
      <c r="O8" s="44" t="s">
        <v>163</v>
      </c>
      <c r="P8" s="43" t="s">
        <v>164</v>
      </c>
      <c r="Q8" s="134" t="s">
        <v>165</v>
      </c>
      <c r="R8" s="50" t="s">
        <v>166</v>
      </c>
      <c r="S8" s="50" t="s">
        <v>167</v>
      </c>
      <c r="T8" s="134" t="s">
        <v>168</v>
      </c>
      <c r="U8" s="134" t="s">
        <v>863</v>
      </c>
      <c r="V8" s="134" t="s">
        <v>169</v>
      </c>
      <c r="W8" s="44" t="s">
        <v>170</v>
      </c>
      <c r="X8" s="134" t="s">
        <v>171</v>
      </c>
      <c r="Y8" s="44" t="s">
        <v>172</v>
      </c>
      <c r="Z8" s="134" t="s">
        <v>173</v>
      </c>
      <c r="AA8" s="134" t="s">
        <v>174</v>
      </c>
      <c r="AB8" s="134" t="s">
        <v>175</v>
      </c>
      <c r="AC8" s="134" t="s">
        <v>176</v>
      </c>
      <c r="AD8" s="46" t="s">
        <v>814</v>
      </c>
      <c r="AE8" s="45" t="s">
        <v>177</v>
      </c>
      <c r="AF8" s="45" t="s">
        <v>631</v>
      </c>
      <c r="AG8" s="134" t="s">
        <v>178</v>
      </c>
      <c r="AH8" s="134" t="s">
        <v>179</v>
      </c>
      <c r="AI8" s="134" t="s">
        <v>632</v>
      </c>
      <c r="AJ8" s="134" t="s">
        <v>180</v>
      </c>
      <c r="AK8" s="134" t="s">
        <v>181</v>
      </c>
      <c r="AL8" s="134" t="s">
        <v>182</v>
      </c>
      <c r="AM8" s="134" t="s">
        <v>183</v>
      </c>
      <c r="AN8" s="134" t="s">
        <v>184</v>
      </c>
      <c r="AO8" s="134" t="s">
        <v>185</v>
      </c>
      <c r="AP8" s="134" t="s">
        <v>186</v>
      </c>
      <c r="AQ8" s="134" t="s">
        <v>187</v>
      </c>
      <c r="AR8" s="134" t="s">
        <v>188</v>
      </c>
      <c r="AS8" s="134" t="s">
        <v>189</v>
      </c>
      <c r="AT8" s="134" t="s">
        <v>190</v>
      </c>
      <c r="AU8" s="134" t="s">
        <v>862</v>
      </c>
      <c r="AV8" s="134" t="s">
        <v>830</v>
      </c>
      <c r="AW8" s="134" t="s">
        <v>831</v>
      </c>
      <c r="AX8" s="134" t="s">
        <v>832</v>
      </c>
      <c r="AY8" s="47" t="s">
        <v>835</v>
      </c>
      <c r="AZ8" s="134" t="s">
        <v>836</v>
      </c>
      <c r="BA8" s="134" t="s">
        <v>191</v>
      </c>
      <c r="BB8" s="134" t="s">
        <v>833</v>
      </c>
      <c r="BC8" s="134" t="s">
        <v>834</v>
      </c>
      <c r="BD8" s="134" t="s">
        <v>192</v>
      </c>
      <c r="BE8" s="134" t="s">
        <v>193</v>
      </c>
      <c r="BF8" s="134" t="s">
        <v>194</v>
      </c>
      <c r="BG8" s="134" t="s">
        <v>195</v>
      </c>
      <c r="BH8" s="217" t="s">
        <v>618</v>
      </c>
      <c r="BI8" s="220" t="s">
        <v>619</v>
      </c>
      <c r="BJ8" s="270" t="s">
        <v>896</v>
      </c>
      <c r="BK8" s="270" t="s">
        <v>897</v>
      </c>
      <c r="BL8" s="270" t="s">
        <v>734</v>
      </c>
      <c r="BM8" s="217" t="s">
        <v>607</v>
      </c>
      <c r="BN8" s="220" t="s">
        <v>608</v>
      </c>
      <c r="BO8" s="220" t="s">
        <v>901</v>
      </c>
      <c r="BP8" s="220" t="s">
        <v>902</v>
      </c>
      <c r="BQ8" s="270" t="s">
        <v>733</v>
      </c>
      <c r="BR8" s="217" t="s">
        <v>609</v>
      </c>
      <c r="BS8" s="218" t="s">
        <v>610</v>
      </c>
      <c r="BT8" s="217" t="s">
        <v>611</v>
      </c>
      <c r="BU8" s="220" t="s">
        <v>612</v>
      </c>
      <c r="BV8" s="218" t="s">
        <v>615</v>
      </c>
      <c r="BW8" s="210" t="s">
        <v>613</v>
      </c>
      <c r="BX8" s="210" t="s">
        <v>614</v>
      </c>
      <c r="BY8" s="134" t="s">
        <v>616</v>
      </c>
      <c r="BZ8" s="134" t="s">
        <v>617</v>
      </c>
      <c r="CA8" s="134" t="s">
        <v>196</v>
      </c>
      <c r="CB8" s="134" t="s">
        <v>197</v>
      </c>
      <c r="CC8" s="134" t="s">
        <v>198</v>
      </c>
      <c r="CD8" s="46" t="s">
        <v>199</v>
      </c>
      <c r="CE8" s="134" t="s">
        <v>200</v>
      </c>
      <c r="CF8" s="207" t="s">
        <v>707</v>
      </c>
      <c r="CG8" s="207"/>
      <c r="CH8" s="207"/>
      <c r="CI8" s="53" t="s">
        <v>201</v>
      </c>
    </row>
    <row r="9" spans="1:87" s="132" customFormat="1" ht="24.75" customHeight="1" x14ac:dyDescent="0.25">
      <c r="M9" s="132" t="s">
        <v>202</v>
      </c>
      <c r="S9" s="132" t="s">
        <v>203</v>
      </c>
      <c r="U9" s="132" t="s">
        <v>870</v>
      </c>
      <c r="X9" s="29"/>
      <c r="Z9" s="132" t="s">
        <v>633</v>
      </c>
      <c r="AA9" s="146" t="s">
        <v>204</v>
      </c>
      <c r="AD9" s="132" t="s">
        <v>205</v>
      </c>
      <c r="AE9" s="132" t="s">
        <v>206</v>
      </c>
      <c r="AF9" s="132" t="s">
        <v>633</v>
      </c>
      <c r="AH9" s="132" t="s">
        <v>206</v>
      </c>
      <c r="AI9" s="132" t="s">
        <v>633</v>
      </c>
      <c r="AK9" s="132" t="s">
        <v>206</v>
      </c>
      <c r="AL9" s="132" t="s">
        <v>206</v>
      </c>
      <c r="AP9" s="132" t="s">
        <v>204</v>
      </c>
      <c r="AQ9" s="132" t="s">
        <v>206</v>
      </c>
      <c r="AU9" s="132" t="s">
        <v>204</v>
      </c>
      <c r="CA9" s="132" t="s">
        <v>207</v>
      </c>
      <c r="CB9" s="132" t="s">
        <v>208</v>
      </c>
      <c r="CC9" s="132" t="s">
        <v>209</v>
      </c>
      <c r="CF9" s="193" t="s">
        <v>636</v>
      </c>
      <c r="CG9" s="193" t="s">
        <v>756</v>
      </c>
      <c r="CH9" s="193" t="s">
        <v>756</v>
      </c>
      <c r="CI9" s="147"/>
    </row>
    <row r="11" spans="1:87" x14ac:dyDescent="0.25">
      <c r="N11"/>
      <c r="O11"/>
      <c r="AF11" s="229"/>
      <c r="AI11" s="229"/>
      <c r="BD11" s="29"/>
      <c r="BH11"/>
      <c r="BI11"/>
      <c r="BJ11"/>
      <c r="BK11" s="376"/>
      <c r="BL11"/>
      <c r="BM11"/>
      <c r="BN11"/>
      <c r="BO11"/>
      <c r="BP11"/>
      <c r="BQ11"/>
      <c r="BR11"/>
      <c r="BS11"/>
      <c r="BT11"/>
      <c r="BU11"/>
      <c r="BV11"/>
      <c r="BW11"/>
      <c r="BX11"/>
      <c r="BY11"/>
      <c r="BZ11"/>
    </row>
    <row r="13" spans="1:87" x14ac:dyDescent="0.25">
      <c r="AH13" s="7"/>
      <c r="AI13" s="7"/>
    </row>
    <row r="14" spans="1:87" x14ac:dyDescent="0.25">
      <c r="AZ14" s="377"/>
    </row>
  </sheetData>
  <sheetProtection algorithmName="SHA-512" hashValue="DKdonJ5EwsP46ddQmnyAZ6ZP7h08eKvjQTvGpIYzpXvtOGv3+A8xEgweKX3+CmCBFaiXcYwONKdFWXSntgEpmg==" saltValue="Lz6mplnHpzs+MIp7VGhEKQ==" spinCount="100000" sheet="1" selectLockedCells="1"/>
  <mergeCells count="14">
    <mergeCell ref="E2:H2"/>
    <mergeCell ref="B1:D1"/>
    <mergeCell ref="E1:F1"/>
    <mergeCell ref="I2:L2"/>
    <mergeCell ref="B2:D2"/>
    <mergeCell ref="AU2:BD2"/>
    <mergeCell ref="AK2:AL2"/>
    <mergeCell ref="AM2:AT2"/>
    <mergeCell ref="I8:J8"/>
    <mergeCell ref="BE2:CF2"/>
    <mergeCell ref="X2:AB2"/>
    <mergeCell ref="AC2:AJ2"/>
    <mergeCell ref="V2:W2"/>
    <mergeCell ref="M2:U2"/>
  </mergeCells>
  <conditionalFormatting sqref="N6">
    <cfRule type="expression" dxfId="52" priority="38">
      <formula>AND($N$6&lt;&gt;"",$O$6&lt;&gt;"",$P$6&lt;&gt;"",OR($N$6&gt;$O$6,$N$6&gt;$P$6))</formula>
    </cfRule>
  </conditionalFormatting>
  <conditionalFormatting sqref="P6">
    <cfRule type="expression" dxfId="51" priority="22">
      <formula>AND($P$6&lt;&gt;"",OR($P$6&lt;=$N$6,$P$6&lt;=$O$6))</formula>
    </cfRule>
  </conditionalFormatting>
  <conditionalFormatting sqref="Q6">
    <cfRule type="expression" dxfId="50" priority="3">
      <formula>AND(Loan_Term &gt; 180, NOT(OR(EEMs_ID_1="CE-SOBT", EEMs_ID_2="CE-SOBT", EEMs_ID_3="CE-SOBT", EEMs_ID_4="CE-SOBT", EEMs_ID_5="CE-SOBT", EEMs_ID_6="CE-SOBT", EEMs_ID_7="CE-SOBT", EEMs_ID_8="CE-SOBT", EEMs_ID_9="CE-SOBT", EEMs_ID_10="CE-SOBT")))</formula>
    </cfRule>
    <cfRule type="expression" dxfId="49" priority="4">
      <formula>AND(Loan_Term &gt; 240, (OR(EEMs_ID_1="CE-SOBT", EEMs_ID_2="CE-SOBT", EEMs_ID_3="CE-SOBT", EEMs_ID_4="CE-SOBT", EEMs_ID_5="CE-SOBT", EEMs_ID_6="CE-SOBT", EEMs_ID_7="CE-SOBT", EEMs_ID_8="CE-SOBT", EEMs_ID_9="CE-SOBT", EEMs_ID_10="CE-SOBT")))</formula>
    </cfRule>
    <cfRule type="expression" dxfId="48" priority="37">
      <formula>AND(Loan_Term&lt;6, Loan_Term&lt;&gt;"")</formula>
    </cfRule>
  </conditionalFormatting>
  <conditionalFormatting sqref="W6">
    <cfRule type="expression" dxfId="47" priority="5">
      <formula>AND(Claim_Eligible_Principal_Amount &gt; 50000, NOT(OR(EEMs_ID_1="CE-SOBT", EEMs_ID_2="CE-SOBT", EEMs_ID_3="CE-SOBT", EEMs_ID_4="CE-SOBT", EEMs_ID_5="CE-SOBT", EEMs_ID_6="CE-SOBT", EEMs_ID_7="CE-SOBT", EEMs_ID_8="CE-SOBT", EEMs_ID_9="CE-SOBT", EEMs_ID_10="CE-SOBT")))</formula>
    </cfRule>
    <cfRule type="expression" dxfId="46" priority="7">
      <formula>AND(Claim_Eligible_Principal_Amount &gt; 75000, (OR(EEMs_ID_1="CE-SOBT", EEMs_ID_2="CE-SOBT", EEMs_ID_3="CE-SOBT", EEMs_ID_4="CE-SOBT", EEMs_ID_5="CE-SOBT", EEMs_ID_6="CE-SOBT", EEMs_ID_7="CE-SOBT", EEMs_ID_8="CE-SOBT", EEMs_ID_9="CE-SOBT", EEMs_ID_10="CE-SOBT")))</formula>
    </cfRule>
    <cfRule type="expression" dxfId="45" priority="36">
      <formula>$W$6&gt;$V$6</formula>
    </cfRule>
  </conditionalFormatting>
  <conditionalFormatting sqref="X6">
    <cfRule type="expression" dxfId="44" priority="17">
      <formula>AND($Z$6="Yes - Cens Tr",$X$6="")</formula>
    </cfRule>
  </conditionalFormatting>
  <conditionalFormatting sqref="Z6">
    <cfRule type="expression" dxfId="43" priority="8">
      <formula>AND($V$6&lt;=5000, OR($Y$6="821+",$Y$6="761-820",$Y$6="701-760"), ISBLANK($X$6), $Z$6="Yes - Cens Tr")</formula>
    </cfRule>
  </conditionalFormatting>
  <conditionalFormatting sqref="AE6:AF6 AH6:AI6">
    <cfRule type="expression" dxfId="42" priority="9">
      <formula>OR(AND($AE$6="City of Palo Alto",$AH$6&lt;&gt;"City of Palo Alto"),AND($AE$6&lt;&gt;"City of Palo Alto",$AH$6="City of Palo Alto"))</formula>
    </cfRule>
    <cfRule type="expression" dxfId="41" priority="15">
      <formula>IF(OR($AE$6&lt;&gt;"City of Palo Alto",$AH$6&lt;&gt;"City of Palo Alto"),AND(OR($AF$6="POU or Co-op",$AF$6="Small IOU"),OR($AI$6="POU or Co-op",$AI$6="Small IOU",$AI$6="None")))</formula>
    </cfRule>
  </conditionalFormatting>
  <conditionalFormatting sqref="AG6">
    <cfRule type="expression" dxfId="40" priority="28">
      <formula>AND(LEFT($AE$6,3)&lt;&gt;"SDG",OR(LEFT($AE$6,2)&lt;&gt;"PG",RIGHT($AE$6,1)&lt;&gt;"E"),$AE$6&lt;&gt;"SCE")</formula>
    </cfRule>
    <cfRule type="expression" dxfId="39" priority="32">
      <formula>AND(LEFT($AE$6,2)="PG",RIGHT($AE$6,1)="E")</formula>
    </cfRule>
    <cfRule type="expression" dxfId="38" priority="33">
      <formula>OR(LEFT($AE$6,3)="SCE",LEFT($AE$6,3)="SDG")</formula>
    </cfRule>
  </conditionalFormatting>
  <conditionalFormatting sqref="AJ6">
    <cfRule type="expression" dxfId="37" priority="27">
      <formula>AND(LEFT($AH$6,3)&lt;&gt;"SDG",OR(LEFT($AH$6,2)&lt;&gt;"PG",RIGHT($AH$6,1)&lt;&gt;"E"),$AH$6&lt;&gt;"SCG")</formula>
    </cfRule>
    <cfRule type="expression" dxfId="36" priority="30">
      <formula>OR(AND(LEFT($AH$6,2)="PG",RIGHT($AH$6,1)="E"),$AH$6="SCG")</formula>
    </cfRule>
    <cfRule type="expression" dxfId="35" priority="31">
      <formula>LEFT($AH$6,3)="SDG"</formula>
    </cfRule>
  </conditionalFormatting>
  <conditionalFormatting sqref="AO6">
    <cfRule type="expression" dxfId="34" priority="29">
      <formula>AND(Total_Loan_Principal_Amount&gt;5000,$AO$6="Professional Non-GGH Installer")</formula>
    </cfRule>
  </conditionalFormatting>
  <conditionalFormatting sqref="AQ6:AS6">
    <cfRule type="expression" dxfId="33" priority="26">
      <formula>$AP$6="No"</formula>
    </cfRule>
  </conditionalFormatting>
  <conditionalFormatting sqref="BD6">
    <cfRule type="expression" dxfId="32" priority="23">
      <formula>$BD$6&lt;$W$6</formula>
    </cfRule>
  </conditionalFormatting>
  <conditionalFormatting sqref="BH6:BL6">
    <cfRule type="expression" dxfId="31" priority="21">
      <formula>AND(sun($BH$6:$BJ$6)&lt;&gt;1,SUM($BH$6,$BK$6)&lt;&gt;1,$BL$6&lt;&gt;1)</formula>
    </cfRule>
  </conditionalFormatting>
  <conditionalFormatting sqref="BM6:BQ6">
    <cfRule type="expression" dxfId="30" priority="20">
      <formula>AND(SUM($BM$6:$BO$6)&lt;&gt;$BG$6,$BQ$6&lt;&gt;$BG$6)</formula>
    </cfRule>
  </conditionalFormatting>
  <conditionalFormatting sqref="BR6:BS6">
    <cfRule type="expression" dxfId="29" priority="19">
      <formula>SUM($BR$6:$BS$6)&lt;&gt;1</formula>
    </cfRule>
  </conditionalFormatting>
  <conditionalFormatting sqref="CF6 CH6">
    <cfRule type="expression" dxfId="28" priority="1">
      <formula>OR(AND($CF$6="Yes",$CH$6="Yes"),AND($CF$6="No",$CH$6="No"))</formula>
    </cfRule>
  </conditionalFormatting>
  <dataValidations xWindow="736" yWindow="687" count="37">
    <dataValidation type="textLength" operator="equal" allowBlank="1" showInputMessage="1" showErrorMessage="1" error="Must be 3 digits." sqref="B6" xr:uid="{00000000-0002-0000-0100-000000000000}">
      <formula1>3</formula1>
    </dataValidation>
    <dataValidation allowBlank="1" showInputMessage="1" showErrorMessage="1" promptTitle="EEEMs ID" prompt="Field may auto-populate._x000a_For multiple and/or handwritten invoices, please enter all values manually and separate each with a semicolon." sqref="AV6" xr:uid="{00000000-0002-0000-0100-000001000000}"/>
    <dataValidation allowBlank="1" showInputMessage="1" showErrorMessage="1" promptTitle="EEEMs Name" prompt="Field may auto-populate._x000a_For multiple and/or handwritten invoices, please enter all values manually and separate each with a semicolon." sqref="AW6" xr:uid="{00000000-0002-0000-0100-000002000000}"/>
    <dataValidation allowBlank="1" showInputMessage="1" showErrorMessage="1" promptTitle="EEEMs Quantity" prompt="Field may auto-populate._x000a_For multiple and/or handwritten invoices, please enter all values manually and separate each with a semicolon." sqref="AX6" xr:uid="{00000000-0002-0000-0100-000003000000}"/>
    <dataValidation allowBlank="1" showInputMessage="1" showErrorMessage="1" promptTitle="EEEMs Cost" prompt="Field may auto-populate._x000a_For multiple and/or handwritten invoices, please enter all values manually and separate each with a semicolon." sqref="AZ6" xr:uid="{00000000-0002-0000-0100-000004000000}"/>
    <dataValidation allowBlank="1" showInputMessage="1" showErrorMessage="1" promptTitle="Substitution" prompt="Field may auto-populate._x000a_For multiple and/or handwritten invoices, please enter all values manually and separate each with a semicolon." sqref="AY6" xr:uid="{00000000-0002-0000-0100-000005000000}"/>
    <dataValidation type="textLength" errorStyle="warning" allowBlank="1" showInputMessage="1" showErrorMessage="1" error="Storage of this field is limited to 256 characters.  You have gone over.  " sqref="CI6" xr:uid="{00000000-0002-0000-0100-000007000000}">
      <formula1>0</formula1>
      <formula2>256</formula2>
    </dataValidation>
    <dataValidation type="list" errorStyle="information" allowBlank="1" showErrorMessage="1" error="Please confirm the name is entered correctly, and not already on the pre-populated list." sqref="AQ6" xr:uid="{00000000-0002-0000-0100-000008000000}">
      <formula1>Utility_Providing_Rebate_VL</formula1>
    </dataValidation>
    <dataValidation type="list" allowBlank="1" showInputMessage="1" showErrorMessage="1" error="Please select one of the available drop-down options." sqref="M6" xr:uid="{00000000-0002-0000-0100-000009000000}">
      <formula1>Loan_Type_VL</formula1>
    </dataValidation>
    <dataValidation type="list" allowBlank="1" showInputMessage="1" showErrorMessage="1" error="Please select one of the available drop-down options." sqref="S6" xr:uid="{00000000-0002-0000-0100-00000A000000}">
      <formula1>Fixed_Variable_VL</formula1>
    </dataValidation>
    <dataValidation type="list" allowBlank="1" showInputMessage="1" showErrorMessage="1" error="Please select one of the available drop-down options." sqref="AA6 AP6 AU6 T6" xr:uid="{00000000-0002-0000-0100-00000B000000}">
      <formula1>Yes_No_VL</formula1>
    </dataValidation>
    <dataValidation type="list" allowBlank="1" showInputMessage="1" showErrorMessage="1" error="Please select one of the available drop-down options." sqref="Y6" xr:uid="{00000000-0002-0000-0100-00000C000000}">
      <formula1>FICO_Range_VL</formula1>
    </dataValidation>
    <dataValidation type="list" allowBlank="1" showInputMessage="1" showErrorMessage="1" error="Please select one of the available drop-down options._x000a_If DTI exceeds 55%, the financing does not qualify for the program." sqref="AB6" xr:uid="{00000000-0002-0000-0100-00000E000000}">
      <formula1>DTI_VL</formula1>
    </dataValidation>
    <dataValidation type="list" allowBlank="1" showInputMessage="1" showErrorMessage="1" error="Please confirm selection." sqref="AC6" xr:uid="{00000000-0002-0000-0100-00000F000000}">
      <formula1>Occupancy_VL</formula1>
    </dataValidation>
    <dataValidation type="list" allowBlank="1" showInputMessage="1" showErrorMessage="1" error="Please select one of the available drop-down options._x000a_If the project upgraded more than 4 units, it is not eligible for the program." sqref="AD6" xr:uid="{00000000-0002-0000-0100-000010000000}">
      <formula1>Number_Units_VL</formula1>
    </dataValidation>
    <dataValidation type="list" errorStyle="information" allowBlank="1" showInputMessage="1" showErrorMessage="1" error="Please confirm the name is entered correctly, and not already on the pre-populated list." sqref="AE6" xr:uid="{00000000-0002-0000-0100-000011000000}">
      <formula1>IOU_Electric_VL</formula1>
    </dataValidation>
    <dataValidation type="list" errorStyle="information" allowBlank="1" showInputMessage="1" showErrorMessage="1" error="Please confirm the name is entered correctly, and not already on the pre-populated list." sqref="AH6" xr:uid="{00000000-0002-0000-0100-000012000000}">
      <formula1>IOU_Gas_VL</formula1>
    </dataValidation>
    <dataValidation type="list" allowBlank="1" showInputMessage="1" sqref="AK6" xr:uid="{00000000-0002-0000-0100-000013000000}">
      <formula1>Borrower_Awareness_VL</formula1>
    </dataValidation>
    <dataValidation type="list" allowBlank="1" showInputMessage="1" showErrorMessage="1" error="Please select one of the available drop-down options." sqref="AO6" xr:uid="{00000000-0002-0000-0100-000015000000}">
      <formula1>Contractor_Type_VL</formula1>
    </dataValidation>
    <dataValidation type="date" errorStyle="warning" operator="greaterThan" allowBlank="1" showInputMessage="1" showErrorMessage="1" error="Please confirm the date entered." sqref="N6" xr:uid="{00000000-0002-0000-0100-000016000000}">
      <formula1>44197</formula1>
    </dataValidation>
    <dataValidation type="date" errorStyle="warning" operator="greaterThan" allowBlank="1" showInputMessage="1" showErrorMessage="1" error="Please confirm the data entered." sqref="O6" xr:uid="{00000000-0002-0000-0100-000017000000}">
      <formula1>44197</formula1>
    </dataValidation>
    <dataValidation type="date" errorStyle="warning" operator="greaterThan" allowBlank="1" showInputMessage="1" showErrorMessage="1" error="Please confirm the date entered." sqref="P6" xr:uid="{00000000-0002-0000-0100-000018000000}">
      <formula1>44562</formula1>
    </dataValidation>
    <dataValidation type="custom" errorStyle="warning" allowBlank="1" showInputMessage="1" showErrorMessage="1" error="Please confirm term length is entered as:_x000a_a) Whole number_x000a_b) Number of months_x000a_c) Does not exceed 180 months unless CE-SOBT is installed in which 240 is the maximum term amount allowed." sqref="Q6" xr:uid="{00000000-0002-0000-0100-000019000000}">
      <formula1>AND(Q6&gt;5,Q6&lt;181)</formula1>
    </dataValidation>
    <dataValidation type="custom" errorStyle="information" allowBlank="1" showInputMessage="1" showErrorMessage="1" error="Please confirm interest rate is entered correctly." sqref="R6" xr:uid="{00000000-0002-0000-0100-00001A000000}">
      <formula1>AND(R6&gt;=0,R6&lt;0.5)</formula1>
    </dataValidation>
    <dataValidation type="custom" errorStyle="warning" allowBlank="1" showInputMessage="1" showErrorMessage="1" error="Please confirm amount entered. _x000a_1) Loan amount must be greater than zero _x000a_2) Loan must not exceed 50,000 per unit for program eligibility unless CE-SOBT is installed in which 75,000 is the maximum amount allowed." sqref="W6" xr:uid="{00000000-0002-0000-0100-00001B000000}">
      <formula1>AND(W6&gt;0,W6&lt;=50000)</formula1>
    </dataValidation>
    <dataValidation type="textLength" errorStyle="warning" allowBlank="1" showInputMessage="1" showErrorMessage="1" error="Please enter a valid census tract, if borrower is qualifying as underserved by census tract." sqref="X6" xr:uid="{00000000-0002-0000-0100-00001D000000}">
      <formula1>10</formula1>
      <formula2>14</formula2>
    </dataValidation>
    <dataValidation type="textLength" errorStyle="warning" operator="equal" allowBlank="1" showInputMessage="1" showErrorMessage="1" error="Must be 11 digits." sqref="CD6" xr:uid="{00000000-0002-0000-0100-00001E000000}">
      <formula1>11</formula1>
    </dataValidation>
    <dataValidation type="list" operator="greaterThan" allowBlank="1" showInputMessage="1" showErrorMessage="1" error="Please select one of the available drop-down options." sqref="CF6:CH6" xr:uid="{00000000-0002-0000-0100-00001F000000}">
      <formula1>Yes_No_VL</formula1>
    </dataValidation>
    <dataValidation type="custom" allowBlank="1" showInputMessage="1" showErrorMessage="1" error="Please enter a valid email address." sqref="G6" xr:uid="{00000000-0002-0000-0100-000020000000}">
      <formula1>ISNUMBER(FIND("@",G6))</formula1>
    </dataValidation>
    <dataValidation type="date" errorStyle="warning" operator="greaterThan" allowBlank="1" showInputMessage="1" showErrorMessage="1" error="Please confirm the date entered._x000a_(If entering multiple dates, ignore this warning)" sqref="AT6" xr:uid="{00000000-0002-0000-0100-000021000000}">
      <formula1>44197</formula1>
    </dataValidation>
    <dataValidation type="list" errorStyle="warning" allowBlank="1" showInputMessage="1" showErrorMessage="1" error="Please confirm the type is entered correctly or select from the pre-populated list." sqref="AF6" xr:uid="{00000000-0002-0000-0100-000022000000}">
      <formula1>Utility_Type_Electric_VL</formula1>
    </dataValidation>
    <dataValidation type="list" allowBlank="1" showInputMessage="1" showErrorMessage="1" sqref="CF6:CH6" xr:uid="{AB2C481A-A2EE-4EA1-95B2-EE69AF6A5645}">
      <formula1>Yes_No_VL</formula1>
    </dataValidation>
    <dataValidation type="list" errorStyle="warning" allowBlank="1" showInputMessage="1" showErrorMessage="1" error="Please confirm the type is entered correctly or select from the pre-populated list." sqref="AI6" xr:uid="{83B8C252-4E6F-4A5A-AFAC-E7E0ECEA5241}">
      <formula1>Utility_Type_Gas_VL</formula1>
    </dataValidation>
    <dataValidation type="textLength" errorStyle="warning" allowBlank="1" showInputMessage="1" showErrorMessage="1" error="Please enter a 10-digit phone number including area code" sqref="H6" xr:uid="{2753D60D-0F20-4E11-B470-AB59D844AEEE}">
      <formula1>10</formula1>
      <formula2>14</formula2>
    </dataValidation>
    <dataValidation type="date" errorStyle="warning" operator="greaterThan" allowBlank="1" showInputMessage="1" showErrorMessage="1" error="Please confirm the data entered." sqref="CE6" xr:uid="{61EE12B0-3A3C-41C2-AC30-58EB2CCA71F2}">
      <formula1>44562</formula1>
    </dataValidation>
    <dataValidation allowBlank="1" showInputMessage="1" showErrorMessage="1" promptTitle="Invoice Costs" prompt="Value may auto-populate based on the Itemized Invoice sheet._x000a_For multiple and/or handwritten invoices, please UNLOCK SHEET and enter manually." sqref="BA6:BD6" xr:uid="{00000000-0002-0000-0100-000006000000}"/>
    <dataValidation allowBlank="1" showInputMessage="1" showErrorMessage="1" error="Please select one of the available drop-down options." sqref="Z6" xr:uid="{00000000-0002-0000-0100-00000D000000}"/>
  </dataValidation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xWindow="736" yWindow="687" count="2">
        <x14:dataValidation type="list" allowBlank="1" showInputMessage="1" xr:uid="{DC0B932A-DB78-456F-BB2E-553518A0B8A8}">
          <x14:formula1>
            <xm:f>'Value Lists and Assumptions'!$M$23:$M$29</xm:f>
          </x14:formula1>
          <xm:sqref>AL6</xm:sqref>
        </x14:dataValidation>
        <x14:dataValidation type="list" allowBlank="1" showInputMessage="1" showErrorMessage="1" xr:uid="{9BB30FBC-7B23-4F11-98EF-CF5325AB62B2}">
          <x14:formula1>
            <xm:f>'Value Lists and Assumptions'!$E$25:$E$26</xm:f>
          </x14:formula1>
          <xm:sqref>U6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pageSetUpPr fitToPage="1"/>
  </sheetPr>
  <dimension ref="A1:N74"/>
  <sheetViews>
    <sheetView topLeftCell="A26" zoomScale="110" zoomScaleNormal="110" workbookViewId="0">
      <selection activeCell="D57" sqref="D57:E57"/>
    </sheetView>
  </sheetViews>
  <sheetFormatPr defaultColWidth="8.85546875" defaultRowHeight="15" x14ac:dyDescent="0.25"/>
  <cols>
    <col min="1" max="1" width="4" customWidth="1"/>
    <col min="2" max="2" width="26" customWidth="1"/>
    <col min="3" max="3" width="16.5703125" customWidth="1"/>
    <col min="4" max="4" width="0.85546875" customWidth="1"/>
    <col min="5" max="5" width="27.42578125" customWidth="1"/>
    <col min="6" max="6" width="1" customWidth="1"/>
    <col min="7" max="7" width="13.140625" customWidth="1"/>
    <col min="8" max="8" width="9.85546875" customWidth="1"/>
    <col min="9" max="9" width="0.42578125" customWidth="1"/>
    <col min="10" max="10" width="14.7109375" customWidth="1"/>
    <col min="11" max="11" width="0.5703125" customWidth="1"/>
    <col min="12" max="12" width="9.5703125" bestFit="1" customWidth="1"/>
  </cols>
  <sheetData>
    <row r="1" spans="2:12" s="21" customFormat="1" x14ac:dyDescent="0.25">
      <c r="B1" s="559"/>
      <c r="C1" s="559"/>
    </row>
    <row r="2" spans="2:12" s="21" customFormat="1" x14ac:dyDescent="0.25">
      <c r="B2" s="559"/>
      <c r="C2" s="559"/>
    </row>
    <row r="3" spans="2:12" s="21" customFormat="1" x14ac:dyDescent="0.25">
      <c r="B3" s="559"/>
      <c r="C3" s="559"/>
    </row>
    <row r="4" spans="2:12" s="21" customFormat="1" x14ac:dyDescent="0.25">
      <c r="B4" s="559"/>
      <c r="C4" s="559"/>
    </row>
    <row r="5" spans="2:12" s="21" customFormat="1" x14ac:dyDescent="0.25">
      <c r="B5" s="559"/>
      <c r="C5" s="559"/>
    </row>
    <row r="6" spans="2:12" s="21" customFormat="1" x14ac:dyDescent="0.25">
      <c r="B6" s="562" t="s">
        <v>229</v>
      </c>
      <c r="C6" s="562"/>
    </row>
    <row r="7" spans="2:12" ht="4.5" customHeight="1" x14ac:dyDescent="0.25">
      <c r="B7" s="563"/>
      <c r="C7" s="563"/>
    </row>
    <row r="8" spans="2:12" s="21" customFormat="1" ht="20.25" customHeight="1" x14ac:dyDescent="0.25">
      <c r="B8" s="559"/>
      <c r="C8" s="559"/>
    </row>
    <row r="9" spans="2:12" s="21" customFormat="1" x14ac:dyDescent="0.25">
      <c r="B9" s="559"/>
      <c r="C9" s="559"/>
    </row>
    <row r="10" spans="2:12" s="21" customFormat="1" x14ac:dyDescent="0.25">
      <c r="B10" s="559"/>
      <c r="C10" s="559"/>
      <c r="L10"/>
    </row>
    <row r="11" spans="2:12" s="21" customFormat="1" x14ac:dyDescent="0.25">
      <c r="B11" s="559"/>
      <c r="C11" s="559"/>
    </row>
    <row r="12" spans="2:12" s="21" customFormat="1" x14ac:dyDescent="0.25">
      <c r="B12" s="559"/>
      <c r="C12" s="559"/>
    </row>
    <row r="13" spans="2:12" s="21" customFormat="1" ht="24.95" customHeight="1" x14ac:dyDescent="0.25">
      <c r="B13" s="559"/>
      <c r="C13" s="559"/>
    </row>
    <row r="14" spans="2:12" s="22" customFormat="1" ht="30" customHeight="1" x14ac:dyDescent="0.25">
      <c r="B14" s="579" t="s">
        <v>230</v>
      </c>
      <c r="C14" s="579"/>
      <c r="D14" s="580"/>
      <c r="E14" s="580"/>
      <c r="F14" s="580"/>
      <c r="G14" s="580"/>
      <c r="H14" s="580"/>
      <c r="I14" s="580"/>
      <c r="J14" s="580"/>
    </row>
    <row r="15" spans="2:12" s="21" customFormat="1" ht="8.25" customHeight="1" x14ac:dyDescent="0.25">
      <c r="B15" s="559"/>
      <c r="C15" s="559"/>
    </row>
    <row r="16" spans="2:12" s="21" customFormat="1" ht="15" customHeight="1" x14ac:dyDescent="0.25">
      <c r="B16" s="559" t="s">
        <v>231</v>
      </c>
      <c r="C16" s="559"/>
      <c r="D16" s="559"/>
      <c r="E16" s="559"/>
      <c r="F16" s="559"/>
      <c r="G16" s="559"/>
      <c r="H16" s="559"/>
      <c r="I16" s="559"/>
      <c r="J16" s="559"/>
    </row>
    <row r="17" spans="2:10" s="21" customFormat="1" ht="7.5" customHeight="1" x14ac:dyDescent="0.25">
      <c r="B17" s="559"/>
      <c r="C17" s="559"/>
    </row>
    <row r="18" spans="2:10" s="21" customFormat="1" x14ac:dyDescent="0.25">
      <c r="B18" s="559" t="s">
        <v>524</v>
      </c>
      <c r="C18" s="559"/>
      <c r="D18" s="559"/>
      <c r="E18" s="559"/>
      <c r="F18" s="559"/>
      <c r="G18" s="559"/>
      <c r="H18" s="559"/>
      <c r="I18" s="559"/>
      <c r="J18" s="559"/>
    </row>
    <row r="19" spans="2:10" s="21" customFormat="1" ht="7.5" customHeight="1" x14ac:dyDescent="0.25">
      <c r="B19" s="559"/>
      <c r="C19" s="559"/>
      <c r="F19" s="23"/>
    </row>
    <row r="20" spans="2:10" s="21" customFormat="1" ht="15" customHeight="1" x14ac:dyDescent="0.25">
      <c r="B20" s="567" t="s">
        <v>232</v>
      </c>
      <c r="C20" s="567"/>
      <c r="D20" s="153"/>
      <c r="E20" s="154" t="s">
        <v>233</v>
      </c>
      <c r="F20" s="153"/>
      <c r="G20" s="584" t="s">
        <v>90</v>
      </c>
      <c r="H20" s="584"/>
      <c r="I20" s="153"/>
      <c r="J20" s="152" t="s">
        <v>234</v>
      </c>
    </row>
    <row r="21" spans="2:10" ht="15" customHeight="1" x14ac:dyDescent="0.25">
      <c r="B21" s="568" t="str">
        <f>IF(Lender_Program_ID="","Invalid Lender ID",
IF(Lender_Program_ID='Value Lists and Assumptions'!AK11,'Value Lists and Assumptions'!AJ11,
IF(Lender_Program_ID='Value Lists and Assumptions'!AK12,'Value Lists and Assumptions'!AJ12,
IF(Lender_Program_ID='Value Lists and Assumptions'!AK13,'Value Lists and Assumptions'!AJ13,
IF(Lender_Program_ID='Value Lists and Assumptions'!AK14,'Value Lists and Assumptions'!AJ14,
IF(Lender_Program_ID='Value Lists and Assumptions'!AK15,'Value Lists and Assumptions'!AJ15,
IF(Lender_Program_ID='Value Lists and Assumptions'!AK16,'Value Lists and Assumptions'!AJ16,
IF(Lender_Program_ID='Value Lists and Assumptions'!AK17,'Value Lists and Assumptions'!AJ17,
IF(Lender_Program_ID='Value Lists and Assumptions'!AK18,'Value Lists and Assumptions'!AJ18,
IF(Lender_Program_ID='Value Lists and Assumptions'!AK19,'Value Lists and Assumptions'!AJ19,"[Enter Lender Name Here]"))))))))))</f>
        <v>Invalid Lender ID</v>
      </c>
      <c r="C21" s="569"/>
      <c r="D21" s="225" t="s">
        <v>660</v>
      </c>
      <c r="E21" s="8" t="str">
        <f>IF(Lender_Internal_Loan_ID="","",Lender_Internal_Loan_ID)</f>
        <v/>
      </c>
      <c r="F21" s="225" t="s">
        <v>660</v>
      </c>
      <c r="G21" s="582" t="str">
        <f>IF(CHEEF_Loan_ID="","",CHEEF_Loan_ID)</f>
        <v/>
      </c>
      <c r="H21" s="583"/>
      <c r="I21" s="225" t="s">
        <v>660</v>
      </c>
      <c r="J21" s="8" t="str">
        <f>IF(Underserved_Entry="","",Underserved_Entry)</f>
        <v/>
      </c>
    </row>
    <row r="22" spans="2:10" s="21" customFormat="1" ht="5.25" customHeight="1" x14ac:dyDescent="0.25">
      <c r="B22" s="559"/>
      <c r="C22" s="559"/>
      <c r="F22" s="23"/>
    </row>
    <row r="23" spans="2:10" s="21" customFormat="1" x14ac:dyDescent="0.25">
      <c r="B23" s="570"/>
      <c r="C23" s="570"/>
      <c r="G23" s="575" t="s">
        <v>235</v>
      </c>
      <c r="H23" s="575"/>
      <c r="I23" s="575"/>
      <c r="J23" s="575"/>
    </row>
    <row r="24" spans="2:10" s="6" customFormat="1" ht="12.95" customHeight="1" x14ac:dyDescent="0.25">
      <c r="B24" s="556" t="s">
        <v>236</v>
      </c>
      <c r="C24" s="556"/>
      <c r="D24" s="563"/>
      <c r="E24" s="585" t="str">
        <f>IF(Contractor_Company="","",Contractor_Company)</f>
        <v/>
      </c>
      <c r="G24" s="9" t="s">
        <v>237</v>
      </c>
      <c r="H24" s="10"/>
      <c r="I24" s="10"/>
      <c r="J24" s="11" t="str">
        <f>IF(Total_Loan_Principal_Amount="","0.00",Total_Loan_Principal_Amount)</f>
        <v>0.00</v>
      </c>
    </row>
    <row r="25" spans="2:10" ht="12.95" customHeight="1" x14ac:dyDescent="0.25">
      <c r="B25" s="556"/>
      <c r="C25" s="556"/>
      <c r="D25" s="563"/>
      <c r="E25" s="585"/>
      <c r="F25" s="18"/>
      <c r="G25" s="128" t="s">
        <v>238</v>
      </c>
      <c r="H25" s="129"/>
      <c r="I25" s="129"/>
      <c r="J25" s="130" t="str">
        <f>IF(OR(LLR_Basis="",LLR_Basis=0),"0.00",LLR_Basis)</f>
        <v>0.00</v>
      </c>
    </row>
    <row r="26" spans="2:10" ht="15.75" thickBot="1" x14ac:dyDescent="0.3">
      <c r="B26" s="571" t="s">
        <v>239</v>
      </c>
      <c r="C26" s="571"/>
      <c r="E26" s="162" t="str">
        <f>IF(CSLB_License_Number="","",CSLB_License_Number)</f>
        <v/>
      </c>
      <c r="F26" s="19"/>
      <c r="G26" s="12" t="s">
        <v>240</v>
      </c>
      <c r="H26" s="172"/>
      <c r="I26" s="13"/>
      <c r="J26" s="27">
        <f>LLR_Percent</f>
        <v>0</v>
      </c>
    </row>
    <row r="27" spans="2:10" ht="15.75" thickTop="1" x14ac:dyDescent="0.25">
      <c r="B27" s="572" t="s">
        <v>241</v>
      </c>
      <c r="C27" s="572"/>
      <c r="E27" s="18" t="str">
        <f>IF(Contractor_Type_Entry="","",Contractor_Type_Entry)</f>
        <v/>
      </c>
      <c r="F27" s="19"/>
      <c r="G27" s="15" t="s">
        <v>242</v>
      </c>
      <c r="H27" s="173"/>
      <c r="I27" s="16"/>
      <c r="J27" s="17" t="str">
        <f>IF(LLR_Contribution_Amount=0,"0.00",LLR_Contribution_Amount)</f>
        <v>0.00</v>
      </c>
    </row>
    <row r="28" spans="2:10" ht="12.75" customHeight="1" x14ac:dyDescent="0.25">
      <c r="B28" s="556" t="s">
        <v>640</v>
      </c>
      <c r="C28" s="556"/>
      <c r="E28" s="223" t="str">
        <f>IF(Electric_Utility_Name&lt;&gt;"",Electric_Utility_Name,"")</f>
        <v/>
      </c>
      <c r="F28" s="20"/>
      <c r="G28" s="183" t="s">
        <v>589</v>
      </c>
      <c r="H28" s="188" t="str">
        <f>"("&amp;TEXT(Cost_Ratio_PPP,"0%")&amp;"):"</f>
        <v>(0%):</v>
      </c>
      <c r="I28" s="189"/>
      <c r="J28" s="186">
        <f>LLR_PPP_Amount</f>
        <v>0</v>
      </c>
    </row>
    <row r="29" spans="2:10" ht="12.75" customHeight="1" x14ac:dyDescent="0.25">
      <c r="B29" s="556" t="s">
        <v>641</v>
      </c>
      <c r="C29" s="556"/>
      <c r="E29" s="223" t="str">
        <f>IF(Gas_Utility_Name&lt;&gt;"",Gas_Utility_Name,"")</f>
        <v/>
      </c>
      <c r="F29" s="20"/>
      <c r="G29" s="290" t="s">
        <v>588</v>
      </c>
      <c r="H29" s="289" t="str">
        <f>"("&amp;TEXT(Cost_Ratio_TECH,"0%")&amp;"):"</f>
        <v>(0%):</v>
      </c>
      <c r="I29" s="288"/>
      <c r="J29" s="291">
        <f>LLR_TECH_Amount</f>
        <v>0</v>
      </c>
    </row>
    <row r="30" spans="2:10" ht="12.75" customHeight="1" x14ac:dyDescent="0.25">
      <c r="B30" s="267"/>
      <c r="C30" s="267"/>
      <c r="E30" s="223"/>
      <c r="F30" s="20"/>
      <c r="G30" s="290" t="s">
        <v>873</v>
      </c>
      <c r="H30" s="289" t="str">
        <f>"("&amp;TEXT(Cost_ratio_TECH_Bridge,"0%")&amp;"):"</f>
        <v>(0%):</v>
      </c>
      <c r="I30" s="288"/>
      <c r="J30" s="291">
        <f>LLR_TECH_Bridge_Amt</f>
        <v>0</v>
      </c>
    </row>
    <row r="31" spans="2:10" ht="12.75" hidden="1" customHeight="1" x14ac:dyDescent="0.25">
      <c r="B31" s="267"/>
      <c r="C31" s="267"/>
      <c r="E31" s="223"/>
      <c r="F31" s="20"/>
      <c r="G31" s="290" t="s">
        <v>908</v>
      </c>
      <c r="H31" s="289" t="str" cm="1">
        <f t="array" ref="H31">"("&amp;TEXT(Cost_Ratio_CEC,"0%")&amp;"):"</f>
        <v>(0%):</v>
      </c>
      <c r="I31" s="288"/>
      <c r="J31" s="380">
        <f>LLR_CEC_Amount</f>
        <v>0</v>
      </c>
    </row>
    <row r="32" spans="2:10" ht="12.75" customHeight="1" x14ac:dyDescent="0.25">
      <c r="B32" s="267"/>
      <c r="C32" s="267"/>
      <c r="E32" s="223"/>
      <c r="F32" s="20"/>
      <c r="G32" s="292" t="s">
        <v>735</v>
      </c>
      <c r="H32" s="293" t="str">
        <f>"("&amp;TEXT(Cost_Ratio_Palo_Alto,"0%")&amp;"):"</f>
        <v>(0%):</v>
      </c>
      <c r="I32" s="294"/>
      <c r="J32" s="187">
        <f>Palo_Alto_LRC_Amount</f>
        <v>0</v>
      </c>
    </row>
    <row r="33" spans="1:14" ht="21.75" customHeight="1" thickBot="1" x14ac:dyDescent="0.3">
      <c r="B33" s="552" t="s">
        <v>243</v>
      </c>
      <c r="C33" s="552"/>
      <c r="D33" s="127"/>
      <c r="E33" s="127"/>
    </row>
    <row r="34" spans="1:14" s="24" customFormat="1" ht="20.25" customHeight="1" thickBot="1" x14ac:dyDescent="0.3">
      <c r="B34" s="576" t="s">
        <v>592</v>
      </c>
      <c r="C34" s="577"/>
      <c r="D34" s="577"/>
      <c r="E34" s="577"/>
      <c r="F34" s="577"/>
      <c r="G34" s="577"/>
      <c r="H34" s="577"/>
      <c r="I34" s="577"/>
      <c r="J34" s="578"/>
      <c r="N34" s="23"/>
    </row>
    <row r="35" spans="1:14" s="21" customFormat="1" ht="15" customHeight="1" x14ac:dyDescent="0.25">
      <c r="A35" s="545"/>
      <c r="B35" s="553" t="s">
        <v>525</v>
      </c>
      <c r="C35" s="554"/>
      <c r="D35" s="25"/>
      <c r="E35" s="196" t="s">
        <v>244</v>
      </c>
      <c r="F35" s="26"/>
      <c r="G35" s="546" t="s">
        <v>245</v>
      </c>
      <c r="H35" s="546"/>
      <c r="I35" s="546"/>
      <c r="J35" s="547"/>
    </row>
    <row r="36" spans="1:14" ht="15" customHeight="1" thickBot="1" x14ac:dyDescent="0.3">
      <c r="A36" s="545"/>
      <c r="B36" s="550" t="str">
        <f>IF(Cost_Ratio_PPP&gt;0,"1243127R001","-")</f>
        <v>-</v>
      </c>
      <c r="C36" s="551"/>
      <c r="D36" s="14"/>
      <c r="E36" s="226">
        <f>LLR_PPP_Amount</f>
        <v>0</v>
      </c>
      <c r="F36" s="197"/>
      <c r="G36" s="557" t="str">
        <f>IF(Cost_Ratio_PPP&gt;0,
IF(Lender_Program_ID="","Invalid Lender ID",
IF(Lender_Program_ID='Value Lists and Assumptions'!AK11,'Value Lists and Assumptions'!AI11,
IF(Lender_Program_ID='Value Lists and Assumptions'!AK12,'Value Lists and Assumptions'!AI12,
IF(Lender_Program_ID='Value Lists and Assumptions'!AK13,'Value Lists and Assumptions'!AI13,
IF(Lender_Program_ID='Value Lists and Assumptions'!AK14,'Value Lists and Assumptions'!AI14,
IF(Lender_Program_ID='Value Lists and Assumptions'!AK15,'Value Lists and Assumptions'!AI15,
IF(Lender_Program_ID='Value Lists and Assumptions'!AK16,'Value Lists and Assumptions'!AI16,
IF(Lender_Program_ID='Value Lists and Assumptions'!AK17,'Value Lists and Assumptions'!AI17,
IF(Lender_Program_ID='Value Lists and Assumptions'!AK18,'Value Lists and Assumptions'!AI18,
IF(Lender_Program_ID='Value Lists and Assumptions'!AK19,'Value Lists and Assumptions'!AI19,
IF(Lender_Program_ID='Value Lists and Assumptions'!AK20,'Value Lists and Assumptions'!AI20,"[Enter Acct #]"))))))))))),"-")</f>
        <v>-</v>
      </c>
      <c r="H36" s="558"/>
      <c r="I36" s="198"/>
      <c r="J36" s="199" t="str">
        <f>IF(Cost_Ratio_PPP&gt;0,
IF(Lender_Program_ID="","Invalid",
IF(G36='Value Lists and Assumptions'!AI11,'Value Lists and Assumptions'!AL11,
IF(G36='Value Lists and Assumptions'!AI12,'Value Lists and Assumptions'!AL12,
IF(G36='Value Lists and Assumptions'!AI13,'Value Lists and Assumptions'!AL13,
IF(G36='Value Lists and Assumptions'!AI14,'Value Lists and Assumptions'!AL14,
IF(G36='Value Lists and Assumptions'!AI15,'Value Lists and Assumptions'!AL15,
IF(G36='Value Lists and Assumptions'!AI16,'Value Lists and Assumptions'!AL16,
IF(G36='Value Lists and Assumptions'!AI17,'Value Lists and Assumptions'!AL17,
IF(G36='Value Lists and Assumptions'!AI18,'Value Lists and Assumptions'!AL18,
IF(G36='Value Lists and Assumptions'!AI19,'Value Lists and Assumptions'!AL19,
IF(G36='Value Lists and Assumptions'!AI20,'Value Lists and Assumptions'!AL20,"[Enter Name]"))))))))))),"-")</f>
        <v>-</v>
      </c>
    </row>
    <row r="37" spans="1:14" s="21" customFormat="1" ht="15" customHeight="1" x14ac:dyDescent="0.25">
      <c r="A37" s="545"/>
      <c r="B37" s="537" t="s">
        <v>247</v>
      </c>
      <c r="C37" s="538"/>
      <c r="D37" s="163"/>
      <c r="E37" s="164" t="s">
        <v>244</v>
      </c>
      <c r="F37" s="165"/>
      <c r="G37" s="541" t="s">
        <v>245</v>
      </c>
      <c r="H37" s="541"/>
      <c r="I37" s="541"/>
      <c r="J37" s="542"/>
    </row>
    <row r="38" spans="1:14" s="21" customFormat="1" ht="15" customHeight="1" thickBot="1" x14ac:dyDescent="0.3">
      <c r="A38" s="545"/>
      <c r="B38" s="550" t="str">
        <f>IF(AND(TECH_Yes_No="Yes",Cost_Ratio_TECH&gt;0),"1243127R012","-")</f>
        <v>-</v>
      </c>
      <c r="C38" s="551"/>
      <c r="D38" s="14"/>
      <c r="E38" s="226" t="str">
        <f>IF(AND(TECH_Yes_No="Yes",Cost_Ratio_TECH&gt;0),LLR_TECH_Amount,"-")</f>
        <v>-</v>
      </c>
      <c r="F38" s="194"/>
      <c r="G38" s="548" t="str">
        <f>IF(AND(TECH_Yes_No="Yes",Cost_Ratio_TECH&gt;0),
IF(Lender_Program_ID="","Invalid Lender ID",
IF(Lender_Program_ID='Value Lists and Assumptions'!AK11,'Value Lists and Assumptions'!AI11,
IF(Lender_Program_ID='Value Lists and Assumptions'!AK12,'Value Lists and Assumptions'!AI12,
IF(Lender_Program_ID='Value Lists and Assumptions'!AK13,'Value Lists and Assumptions'!AI13,
IF(Lender_Program_ID='Value Lists and Assumptions'!AK14,'Value Lists and Assumptions'!AI14,
IF(Lender_Program_ID='Value Lists and Assumptions'!AK15,'Value Lists and Assumptions'!AI15,
IF(Lender_Program_ID='Value Lists and Assumptions'!AK16,'Value Lists and Assumptions'!AI16,
IF(Lender_Program_ID='Value Lists and Assumptions'!AK17,'Value Lists and Assumptions'!AI17,
IF(Lender_Program_ID='Value Lists and Assumptions'!AK18,'Value Lists and Assumptions'!AI18,
IF(Lender_Program_ID='Value Lists and Assumptions'!AK19,'Value Lists and Assumptions'!AI19,
IF(Lender_Program_ID='Value Lists and Assumptions'!AK20,'Value Lists and Assumptions'!AI20,"[Enter Acct #]"))))))))))),"-")</f>
        <v>-</v>
      </c>
      <c r="H38" s="549"/>
      <c r="I38" s="191"/>
      <c r="J38" s="192" t="str">
        <f>IF(AND(TECH_Yes_No="Yes",Cost_Ratio_TECH&gt;0),
IF(Lender_Program_ID="","Invalid",
IF(G38='Value Lists and Assumptions'!AI11,'Value Lists and Assumptions'!AL11,
IF(G38='Value Lists and Assumptions'!AI12,'Value Lists and Assumptions'!AL12,
IF(G38='Value Lists and Assumptions'!AI13,'Value Lists and Assumptions'!AL13,
IF(G38='Value Lists and Assumptions'!AI14,'Value Lists and Assumptions'!AL14,
IF(G38='Value Lists and Assumptions'!AI15,'Value Lists and Assumptions'!AL15,
IF(G38='Value Lists and Assumptions'!AI16,'Value Lists and Assumptions'!AL16,
IF(G38='Value Lists and Assumptions'!AI17,'Value Lists and Assumptions'!AL17,
IF(G38='Value Lists and Assumptions'!AI18,'Value Lists and Assumptions'!AL18,
IF(G38='Value Lists and Assumptions'!AI19,'Value Lists and Assumptions'!AL19,
IF(G38='Value Lists and Assumptions'!AI20,'Value Lists and Assumptions'!AL20,"[Enter Name]"))))))))))),"-")</f>
        <v>-</v>
      </c>
    </row>
    <row r="39" spans="1:14" s="21" customFormat="1" ht="15" customHeight="1" x14ac:dyDescent="0.25">
      <c r="A39" s="86"/>
      <c r="B39" s="537" t="s">
        <v>889</v>
      </c>
      <c r="C39" s="538"/>
      <c r="D39" s="365"/>
      <c r="E39" s="164" t="s">
        <v>244</v>
      </c>
      <c r="F39" s="367"/>
      <c r="G39" s="541" t="s">
        <v>245</v>
      </c>
      <c r="H39" s="541"/>
      <c r="I39" s="541"/>
      <c r="J39" s="542"/>
    </row>
    <row r="40" spans="1:14" s="21" customFormat="1" ht="15" customHeight="1" thickBot="1" x14ac:dyDescent="0.3">
      <c r="A40" s="86"/>
      <c r="B40" s="550" t="str">
        <f>IF(AND(TECH_Yes_No="Yes",Cost_ratio_TECH_Bridge&gt;0),"1243127016R","-")</f>
        <v>-</v>
      </c>
      <c r="C40" s="551"/>
      <c r="D40" s="365"/>
      <c r="E40" s="366" t="str">
        <f>IF(AND(TECH_Yes_No="Yes",Cost_ratio_TECH_Bridge&gt;0),LLR_TECH_Bridge_Amt,"-")</f>
        <v>-</v>
      </c>
      <c r="F40" s="367"/>
      <c r="G40" s="548" t="str">
        <f>IF(AND(TECH_Yes_No="Yes",Cost_ratio_TECH_Bridge&gt;0),
IF(Lender_Program_ID="","Invalid Lender ID",
IF(Lender_Program_ID='Value Lists and Assumptions'!AK11,'Value Lists and Assumptions'!AI11,
IF(Lender_Program_ID='Value Lists and Assumptions'!AK12,'Value Lists and Assumptions'!AI12,
IF(Lender_Program_ID='Value Lists and Assumptions'!AK13,'Value Lists and Assumptions'!AI13,
IF(Lender_Program_ID='Value Lists and Assumptions'!AK14,'Value Lists and Assumptions'!AI14,
IF(Lender_Program_ID='Value Lists and Assumptions'!AK15,'Value Lists and Assumptions'!AI15,
IF(Lender_Program_ID='Value Lists and Assumptions'!AK16,'Value Lists and Assumptions'!AI16,
IF(Lender_Program_ID='Value Lists and Assumptions'!AK17,'Value Lists and Assumptions'!AI17,
IF(Lender_Program_ID='Value Lists and Assumptions'!AK18,'Value Lists and Assumptions'!AI18,
IF(Lender_Program_ID='Value Lists and Assumptions'!AK19,'Value Lists and Assumptions'!AI19,
IF(Lender_Program_ID='Value Lists and Assumptions'!AK20,'Value Lists and Assumptions'!AI20,"[Enter Acct #]"))))))))))),"-")</f>
        <v>-</v>
      </c>
      <c r="H40" s="549"/>
      <c r="I40" s="368"/>
      <c r="J40" s="369" t="str">
        <f>IF(AND(TECH_Yes_No="Yes",Cost_ratio_TECH_Bridge&gt;0),
IF(Lender_Program_ID="","Invalid",
IF(G40='Value Lists and Assumptions'!AI11,'Value Lists and Assumptions'!AL11,
IF(G40='Value Lists and Assumptions'!AI12,'Value Lists and Assumptions'!AL12,
IF(G40='Value Lists and Assumptions'!AI13,'Value Lists and Assumptions'!AL13,
IF(G40='Value Lists and Assumptions'!AI14,'Value Lists and Assumptions'!AL14,
IF(G40='Value Lists and Assumptions'!AI15,'Value Lists and Assumptions'!AL15,
IF(G40='Value Lists and Assumptions'!AI16,'Value Lists and Assumptions'!AL16,
IF(G40='Value Lists and Assumptions'!AI17,'Value Lists and Assumptions'!AL17,
IF(G40='Value Lists and Assumptions'!AI18,'Value Lists and Assumptions'!AL18,
IF(G40='Value Lists and Assumptions'!AI19,'Value Lists and Assumptions'!AL19,
IF(G40='Value Lists and Assumptions'!AI20,'Value Lists and Assumptions'!AL20,"[Enter Name]"))))))))))),"-")</f>
        <v>-</v>
      </c>
    </row>
    <row r="41" spans="1:14" s="21" customFormat="1" ht="15" hidden="1" customHeight="1" x14ac:dyDescent="0.25">
      <c r="A41" s="86"/>
      <c r="B41" s="539" t="s">
        <v>907</v>
      </c>
      <c r="C41" s="540"/>
      <c r="D41" s="365"/>
      <c r="E41" s="378" t="s">
        <v>244</v>
      </c>
      <c r="F41" s="367"/>
      <c r="G41" s="543" t="s">
        <v>245</v>
      </c>
      <c r="H41" s="543"/>
      <c r="I41" s="543"/>
      <c r="J41" s="544"/>
    </row>
    <row r="42" spans="1:14" s="21" customFormat="1" ht="15" hidden="1" customHeight="1" thickBot="1" x14ac:dyDescent="0.3">
      <c r="A42" s="86"/>
      <c r="B42" s="589"/>
      <c r="C42" s="590"/>
      <c r="D42" s="365"/>
      <c r="E42" s="379" t="str">
        <f>IF(AND(TECH_Yes_No="Yes",Cost_Ratio_CEC&gt;0),LLR_CEC_Amount,"-")</f>
        <v>-</v>
      </c>
      <c r="F42" s="367"/>
      <c r="G42" s="586" t="str">
        <f>IF(AND(CEC_YES_NO="Yes",Cost_Ratio_CEC&gt;0),
IF(Lender_Program_ID="","Invalid Lender ID",
IF(Lender_Program_ID='Value Lists and Assumptions'!AK11,'Value Lists and Assumptions'!AI11,
IF(Lender_Program_ID='Value Lists and Assumptions'!AK12,'Value Lists and Assumptions'!AI12,
IF(Lender_Program_ID='Value Lists and Assumptions'!AK13,'Value Lists and Assumptions'!AI13,
IF(Lender_Program_ID='Value Lists and Assumptions'!AK14,'Value Lists and Assumptions'!AI14,
IF(Lender_Program_ID='Value Lists and Assumptions'!AK15,'Value Lists and Assumptions'!AI15,
IF(Lender_Program_ID='Value Lists and Assumptions'!AK16,'Value Lists and Assumptions'!AI16,
IF(Lender_Program_ID='Value Lists and Assumptions'!AK17,'Value Lists and Assumptions'!AI17,
IF(Lender_Program_ID='Value Lists and Assumptions'!AK18,'Value Lists and Assumptions'!AI18,
IF(Lender_Program_ID='Value Lists and Assumptions'!AK19,'Value Lists and Assumptions'!AI19,
IF(Lender_Program_ID='Value Lists and Assumptions'!AK20,'Value Lists and Assumptions'!AI20,"[Enter Acct #]"))))))))))),"-")</f>
        <v>-</v>
      </c>
      <c r="H42" s="587"/>
      <c r="I42" s="383"/>
      <c r="J42" s="384" t="str">
        <f>IF(AND(CEC_YES_NO="Yes",Cost_Ratio_CEC&gt;0),
IF(Lender_Program_ID="","Invalid",
IF(G42='Value Lists and Assumptions'!AI11,'Value Lists and Assumptions'!AL11,
IF(G42='Value Lists and Assumptions'!AI12,'Value Lists and Assumptions'!AL12,
IF(G42='Value Lists and Assumptions'!AI13,'Value Lists and Assumptions'!AL13,
IF(G42='Value Lists and Assumptions'!AI14,'Value Lists and Assumptions'!AL14,
IF(G42='Value Lists and Assumptions'!AI15,'Value Lists and Assumptions'!AL15,
IF(G42='Value Lists and Assumptions'!AI16,'Value Lists and Assumptions'!AL16,
IF(G42='Value Lists and Assumptions'!AI17,'Value Lists and Assumptions'!AL17,
IF(G42='Value Lists and Assumptions'!AI18,'Value Lists and Assumptions'!AL18,
IF(G42='Value Lists and Assumptions'!AI19,'Value Lists and Assumptions'!AL19,
IF(G42='Value Lists and Assumptions'!AI20,'Value Lists and Assumptions'!AL20,"[Enter Name]"))))))))))),"-")</f>
        <v>-</v>
      </c>
    </row>
    <row r="43" spans="1:14" s="21" customFormat="1" ht="15" customHeight="1" x14ac:dyDescent="0.25">
      <c r="A43" s="545"/>
      <c r="B43" s="537" t="s">
        <v>738</v>
      </c>
      <c r="C43" s="538"/>
      <c r="D43" s="163"/>
      <c r="E43" s="164" t="s">
        <v>244</v>
      </c>
      <c r="F43" s="165"/>
      <c r="G43" s="541" t="s">
        <v>245</v>
      </c>
      <c r="H43" s="541"/>
      <c r="I43" s="541"/>
      <c r="J43" s="542"/>
    </row>
    <row r="44" spans="1:14" s="21" customFormat="1" ht="15" customHeight="1" thickBot="1" x14ac:dyDescent="0.3">
      <c r="A44" s="545"/>
      <c r="B44" s="550" t="str">
        <f>IF(Cost_Ratio_Palo_Alto&gt;0,"1243127015R","-")</f>
        <v>-</v>
      </c>
      <c r="C44" s="551"/>
      <c r="D44" s="14"/>
      <c r="E44" s="226">
        <f>Palo_Alto_LRC_Amount</f>
        <v>0</v>
      </c>
      <c r="F44" s="194"/>
      <c r="G44" s="588" t="str">
        <f>IF(Cost_Ratio_Palo_Alto&gt;0,
IF(Lender_Program_ID="","Invalid Lender ID",
IF(Lender_Program_ID='Value Lists and Assumptions'!AK11,'Value Lists and Assumptions'!AI11,
IF(Lender_Program_ID='Value Lists and Assumptions'!AK12,'Value Lists and Assumptions'!AI12,
IF(Lender_Program_ID='Value Lists and Assumptions'!AK13,'Value Lists and Assumptions'!AI13,
IF(Lender_Program_ID='Value Lists and Assumptions'!AK14,'Value Lists and Assumptions'!AI14,
IF(Lender_Program_ID='Value Lists and Assumptions'!AK15,'Value Lists and Assumptions'!AI15,
IF(Lender_Program_ID='Value Lists and Assumptions'!AK16,'Value Lists and Assumptions'!AI16,
IF(Lender_Program_ID='Value Lists and Assumptions'!AK17,'Value Lists and Assumptions'!AI17,
IF(Lender_Program_ID='Value Lists and Assumptions'!AK18,'Value Lists and Assumptions'!AI18,
IF(Lender_Program_ID='Value Lists and Assumptions'!AK19,'Value Lists and Assumptions'!AI19,
IF(Lender_Program_ID='Value Lists and Assumptions'!AK20,'Value Lists and Assumptions'!AI20,"[Enter Acct #]"))))))))))),"-")</f>
        <v>-</v>
      </c>
      <c r="H44" s="549"/>
      <c r="I44" s="191"/>
      <c r="J44" s="295" t="str">
        <f>IF(Cost_Ratio_Palo_Alto&gt;0,
IF(Lender_Program_ID="","Invalid",
IF(G44='Value Lists and Assumptions'!AI11,'Value Lists and Assumptions'!AL11,
IF(G44='Value Lists and Assumptions'!AI12,'Value Lists and Assumptions'!AL12,
IF(G44='Value Lists and Assumptions'!AI13,'Value Lists and Assumptions'!AL13,
IF(G44='Value Lists and Assumptions'!AI14,'Value Lists and Assumptions'!AL14,
IF(G44='Value Lists and Assumptions'!AI15,'Value Lists and Assumptions'!AL15,
IF(G44='Value Lists and Assumptions'!AI16,'Value Lists and Assumptions'!AL16,
IF(G44='Value Lists and Assumptions'!AI17,'Value Lists and Assumptions'!AL17,
IF(G44='Value Lists and Assumptions'!AI18,'Value Lists and Assumptions'!AL18,
IF(G44='Value Lists and Assumptions'!AI19,'Value Lists and Assumptions'!AL19,
IF(G44='Value Lists and Assumptions'!AI20,'Value Lists and Assumptions'!AL20,"[Enter Name]"))))))))))),"-")</f>
        <v>-</v>
      </c>
    </row>
    <row r="45" spans="1:14" s="21" customFormat="1" x14ac:dyDescent="0.25">
      <c r="B45" s="559"/>
      <c r="C45" s="559"/>
    </row>
    <row r="46" spans="1:14" s="21" customFormat="1" ht="15" customHeight="1" x14ac:dyDescent="0.25">
      <c r="B46" s="559"/>
      <c r="C46" s="559"/>
    </row>
    <row r="47" spans="1:14" s="21" customFormat="1" ht="15" customHeight="1" x14ac:dyDescent="0.25">
      <c r="B47" s="559"/>
      <c r="C47" s="559"/>
    </row>
    <row r="48" spans="1:14" s="21" customFormat="1" ht="15" customHeight="1" x14ac:dyDescent="0.25">
      <c r="B48" s="559"/>
      <c r="C48" s="559"/>
    </row>
    <row r="49" spans="1:10" s="21" customFormat="1" ht="15" customHeight="1" x14ac:dyDescent="0.25">
      <c r="B49" s="559"/>
      <c r="C49" s="559"/>
    </row>
    <row r="50" spans="1:10" s="21" customFormat="1" ht="15" customHeight="1" x14ac:dyDescent="0.25">
      <c r="B50" s="559"/>
      <c r="C50" s="559"/>
    </row>
    <row r="51" spans="1:10" s="21" customFormat="1" ht="15" customHeight="1" x14ac:dyDescent="0.25">
      <c r="B51" s="559"/>
      <c r="C51" s="559"/>
    </row>
    <row r="52" spans="1:10" s="21" customFormat="1" ht="15" customHeight="1" x14ac:dyDescent="0.25">
      <c r="B52" s="559"/>
      <c r="C52" s="559"/>
    </row>
    <row r="53" spans="1:10" s="21" customFormat="1" ht="15" customHeight="1" x14ac:dyDescent="0.25">
      <c r="B53" s="559"/>
      <c r="C53" s="559"/>
    </row>
    <row r="54" spans="1:10" s="21" customFormat="1" ht="7.5" customHeight="1" x14ac:dyDescent="0.25">
      <c r="B54" s="559"/>
      <c r="C54" s="559"/>
    </row>
    <row r="55" spans="1:10" s="21" customFormat="1" x14ac:dyDescent="0.25"/>
    <row r="56" spans="1:10" s="21" customFormat="1" x14ac:dyDescent="0.25">
      <c r="B56" s="560" t="s">
        <v>248</v>
      </c>
      <c r="C56" s="560"/>
      <c r="D56" s="581" t="str">
        <f>IF(ERD="","[Enter ERD on Lender Screen]",ERD)</f>
        <v>[Enter ERD on Lender Screen]</v>
      </c>
      <c r="E56" s="581"/>
      <c r="F56"/>
    </row>
    <row r="57" spans="1:10" s="21" customFormat="1" x14ac:dyDescent="0.25">
      <c r="B57" s="560" t="s">
        <v>249</v>
      </c>
      <c r="C57" s="560"/>
      <c r="D57" s="561" t="str">
        <f>IF(OR(LEFT(D56,6)="[Enter",D56=""),"Invalid ERD",WORKDAY(D56,10))</f>
        <v>Invalid ERD</v>
      </c>
      <c r="E57" s="561"/>
    </row>
    <row r="58" spans="1:10" s="21" customFormat="1" ht="8.25" customHeight="1" x14ac:dyDescent="0.25">
      <c r="B58" s="559"/>
      <c r="C58" s="559"/>
    </row>
    <row r="59" spans="1:10" s="21" customFormat="1" ht="8.25" customHeight="1" x14ac:dyDescent="0.25">
      <c r="B59" s="559"/>
      <c r="C59" s="559"/>
    </row>
    <row r="60" spans="1:10" s="86" customFormat="1" x14ac:dyDescent="0.25">
      <c r="B60" s="545" t="s">
        <v>250</v>
      </c>
      <c r="C60" s="545"/>
      <c r="D60" s="545"/>
      <c r="E60" s="545"/>
      <c r="F60" s="545"/>
      <c r="G60" s="545"/>
      <c r="H60" s="545"/>
      <c r="I60" s="545"/>
      <c r="J60" s="545"/>
    </row>
    <row r="61" spans="1:10" s="86" customFormat="1" ht="8.25" customHeight="1" x14ac:dyDescent="0.25"/>
    <row r="62" spans="1:10" s="86" customFormat="1" ht="11.25" customHeight="1" x14ac:dyDescent="0.2">
      <c r="A62" s="564" t="s">
        <v>634</v>
      </c>
      <c r="B62" s="573" t="s">
        <v>638</v>
      </c>
      <c r="C62" s="574"/>
      <c r="D62" s="555" t="str">
        <f>TECH_Yes_No</f>
        <v>Yes</v>
      </c>
      <c r="E62" s="555"/>
      <c r="F62" s="329"/>
      <c r="G62" s="329"/>
      <c r="H62" s="329"/>
      <c r="I62" s="329"/>
      <c r="J62" s="330"/>
    </row>
    <row r="63" spans="1:10" s="86" customFormat="1" ht="10.5" customHeight="1" x14ac:dyDescent="0.2">
      <c r="A63" s="565"/>
      <c r="B63" s="373"/>
      <c r="C63" s="374" t="s">
        <v>747</v>
      </c>
      <c r="D63" s="375" t="str">
        <f ca="1">IF(TODAY()&gt;Palo_Alto_Launch_Date, "Yes", "No")</f>
        <v>Yes</v>
      </c>
      <c r="E63" s="375"/>
      <c r="F63" s="329"/>
      <c r="G63" s="331"/>
      <c r="H63" s="331"/>
      <c r="I63" s="331"/>
      <c r="J63" s="332"/>
    </row>
    <row r="64" spans="1:10" s="21" customFormat="1" ht="13.5" customHeight="1" x14ac:dyDescent="0.25">
      <c r="A64" s="565"/>
      <c r="B64" s="201"/>
      <c r="C64" s="201"/>
      <c r="D64" s="201"/>
      <c r="E64" s="201"/>
      <c r="F64" s="372"/>
      <c r="G64" s="201"/>
      <c r="H64" s="201"/>
      <c r="I64" s="201"/>
      <c r="J64" s="202"/>
    </row>
    <row r="65" spans="1:10" s="21" customFormat="1" ht="13.5" customHeight="1" x14ac:dyDescent="0.25">
      <c r="A65" s="565"/>
      <c r="B65" s="372"/>
      <c r="C65" s="372"/>
      <c r="D65" s="372"/>
      <c r="E65" s="372"/>
      <c r="F65" s="372"/>
      <c r="G65" s="372"/>
      <c r="H65" s="372"/>
      <c r="I65" s="372"/>
      <c r="J65" s="371"/>
    </row>
    <row r="66" spans="1:10" s="21" customFormat="1" ht="13.5" customHeight="1" x14ac:dyDescent="0.25">
      <c r="A66" s="565"/>
      <c r="B66" s="372"/>
      <c r="C66" s="372"/>
      <c r="D66" s="372"/>
      <c r="E66" s="372"/>
      <c r="F66" s="372"/>
      <c r="G66" s="372"/>
      <c r="H66" s="372"/>
      <c r="I66" s="372"/>
      <c r="J66" s="371"/>
    </row>
    <row r="67" spans="1:10" ht="10.5" customHeight="1" x14ac:dyDescent="0.25">
      <c r="A67" s="565"/>
      <c r="B67" s="398"/>
      <c r="C67" s="200"/>
      <c r="D67" s="200"/>
      <c r="E67" s="200"/>
      <c r="F67" s="200"/>
      <c r="G67" s="200"/>
      <c r="H67" s="200"/>
      <c r="I67" s="200"/>
      <c r="J67" s="203"/>
    </row>
    <row r="68" spans="1:10" ht="5.25" customHeight="1" x14ac:dyDescent="0.25">
      <c r="A68" s="566"/>
      <c r="B68" s="204"/>
      <c r="C68" s="204"/>
      <c r="D68" s="204"/>
      <c r="E68" s="204"/>
      <c r="F68" s="204"/>
      <c r="G68" s="204"/>
      <c r="H68" s="204"/>
      <c r="I68" s="204"/>
      <c r="J68" s="205"/>
    </row>
    <row r="74" spans="1:10" x14ac:dyDescent="0.25">
      <c r="C74" s="328"/>
    </row>
  </sheetData>
  <sheetProtection algorithmName="SHA-512" hashValue="/j/94DBl3kuHMQHEO3mnMuYlZOd42Esgju8BAnbdWxH4IPnlST7gobqIn60DH07qB+gT4+G3Ps89nDLAcYt2zw==" saltValue="ECLHj3kPMzkgN0jP9PRfRQ==" spinCount="100000" sheet="1" selectLockedCells="1"/>
  <mergeCells count="79">
    <mergeCell ref="G42:H42"/>
    <mergeCell ref="A43:A44"/>
    <mergeCell ref="B43:C43"/>
    <mergeCell ref="G43:J43"/>
    <mergeCell ref="B44:C44"/>
    <mergeCell ref="G44:H44"/>
    <mergeCell ref="B42:C42"/>
    <mergeCell ref="B56:C56"/>
    <mergeCell ref="B11:C11"/>
    <mergeCell ref="B12:C12"/>
    <mergeCell ref="B13:C13"/>
    <mergeCell ref="B14:J14"/>
    <mergeCell ref="B16:J16"/>
    <mergeCell ref="B18:J18"/>
    <mergeCell ref="D56:E56"/>
    <mergeCell ref="B17:C17"/>
    <mergeCell ref="G21:H21"/>
    <mergeCell ref="B15:C15"/>
    <mergeCell ref="B45:C45"/>
    <mergeCell ref="G20:H20"/>
    <mergeCell ref="B53:C53"/>
    <mergeCell ref="E24:E25"/>
    <mergeCell ref="D24:D25"/>
    <mergeCell ref="A62:A68"/>
    <mergeCell ref="B59:C59"/>
    <mergeCell ref="B19:C19"/>
    <mergeCell ref="B20:C20"/>
    <mergeCell ref="B21:C21"/>
    <mergeCell ref="B22:C22"/>
    <mergeCell ref="B23:C23"/>
    <mergeCell ref="B24:C24"/>
    <mergeCell ref="B25:C25"/>
    <mergeCell ref="B26:C26"/>
    <mergeCell ref="B27:C27"/>
    <mergeCell ref="B28:C28"/>
    <mergeCell ref="B62:C62"/>
    <mergeCell ref="B60:J60"/>
    <mergeCell ref="G23:J23"/>
    <mergeCell ref="B34:J34"/>
    <mergeCell ref="B6:C6"/>
    <mergeCell ref="B7:C7"/>
    <mergeCell ref="B8:C8"/>
    <mergeCell ref="B9:C9"/>
    <mergeCell ref="B10:C10"/>
    <mergeCell ref="B1:C1"/>
    <mergeCell ref="B2:C2"/>
    <mergeCell ref="B3:C3"/>
    <mergeCell ref="B4:C4"/>
    <mergeCell ref="B5:C5"/>
    <mergeCell ref="D62:E62"/>
    <mergeCell ref="B29:C29"/>
    <mergeCell ref="G38:H38"/>
    <mergeCell ref="G36:H36"/>
    <mergeCell ref="B54:C54"/>
    <mergeCell ref="B50:C50"/>
    <mergeCell ref="B51:C51"/>
    <mergeCell ref="B52:C52"/>
    <mergeCell ref="B47:C47"/>
    <mergeCell ref="B58:C58"/>
    <mergeCell ref="B57:C57"/>
    <mergeCell ref="B48:C48"/>
    <mergeCell ref="B49:C49"/>
    <mergeCell ref="D57:E57"/>
    <mergeCell ref="B46:C46"/>
    <mergeCell ref="G37:J37"/>
    <mergeCell ref="B33:C33"/>
    <mergeCell ref="B35:C35"/>
    <mergeCell ref="B36:C36"/>
    <mergeCell ref="B37:C37"/>
    <mergeCell ref="B38:C38"/>
    <mergeCell ref="B39:C39"/>
    <mergeCell ref="B41:C41"/>
    <mergeCell ref="G39:J39"/>
    <mergeCell ref="G41:J41"/>
    <mergeCell ref="A35:A36"/>
    <mergeCell ref="A37:A38"/>
    <mergeCell ref="G35:J35"/>
    <mergeCell ref="G40:H40"/>
    <mergeCell ref="B40:C40"/>
  </mergeCells>
  <conditionalFormatting sqref="B6 B14 B21 G36 J36 G38 J38 G40 J40 G42 J42 D56">
    <cfRule type="beginsWith" dxfId="27" priority="14" operator="beginsWith" text="[Enter">
      <formula>LEFT(B6,LEN("[Enter"))="[Enter"</formula>
    </cfRule>
  </conditionalFormatting>
  <conditionalFormatting sqref="B6 B14:J14 B36 G36 B38 G38 B40 G40">
    <cfRule type="expression" dxfId="26" priority="31">
      <formula>ISBLANK($B6)</formula>
    </cfRule>
  </conditionalFormatting>
  <conditionalFormatting sqref="B6">
    <cfRule type="expression" dxfId="25" priority="46">
      <formula>CELL("format",$B$6)="D4"</formula>
    </cfRule>
  </conditionalFormatting>
  <conditionalFormatting sqref="B21 G36 J36 G38 J38 G40 J40 G42 J42 D57">
    <cfRule type="containsText" dxfId="24" priority="13" operator="containsText" text="Invalid">
      <formula>NOT(ISERROR(SEARCH("Invalid",B21)))</formula>
    </cfRule>
  </conditionalFormatting>
  <conditionalFormatting sqref="B44 G44">
    <cfRule type="expression" dxfId="23" priority="3">
      <formula>ISBLANK($B6)</formula>
    </cfRule>
  </conditionalFormatting>
  <conditionalFormatting sqref="B21:J21">
    <cfRule type="expression" dxfId="22" priority="45">
      <formula>B$21=""</formula>
    </cfRule>
  </conditionalFormatting>
  <conditionalFormatting sqref="D56">
    <cfRule type="expression" dxfId="21" priority="37">
      <formula>$D$56=""</formula>
    </cfRule>
  </conditionalFormatting>
  <conditionalFormatting sqref="E24:E29 E36">
    <cfRule type="expression" dxfId="20" priority="34">
      <formula>$E24=""</formula>
    </cfRule>
  </conditionalFormatting>
  <conditionalFormatting sqref="G44 J44">
    <cfRule type="containsText" dxfId="19" priority="1" operator="containsText" text="Invalid">
      <formula>NOT(ISERROR(SEARCH("Invalid",G44)))</formula>
    </cfRule>
    <cfRule type="beginsWith" dxfId="18" priority="2" operator="beginsWith" text="[Enter">
      <formula>LEFT(G44,LEN("[Enter"))="[Enter"</formula>
    </cfRule>
  </conditionalFormatting>
  <conditionalFormatting sqref="G26:J26">
    <cfRule type="expression" dxfId="17" priority="4">
      <formula>AND(LEFT($J$21,2)="No",$J$26&gt;LLR_11_Percent)</formula>
    </cfRule>
  </conditionalFormatting>
  <conditionalFormatting sqref="J20:J21">
    <cfRule type="expression" dxfId="15" priority="5">
      <formula>AND($J$21&lt;&gt;"",ISERROR(INDEX(Underserved_VL,MATCH($J$21,Underserved_VL,0))))</formula>
    </cfRule>
  </conditionalFormatting>
  <conditionalFormatting sqref="J24:J25">
    <cfRule type="expression" dxfId="14" priority="52">
      <formula>$J24="0.00"</formula>
    </cfRule>
  </conditionalFormatting>
  <conditionalFormatting sqref="J25">
    <cfRule type="cellIs" dxfId="13" priority="50" operator="greaterThan">
      <formula>$J$24</formula>
    </cfRule>
  </conditionalFormatting>
  <conditionalFormatting sqref="J26">
    <cfRule type="expression" dxfId="10" priority="49">
      <formula>$J$26=0</formula>
    </cfRule>
  </conditionalFormatting>
  <conditionalFormatting sqref="J28:J32">
    <cfRule type="expression" dxfId="9" priority="7">
      <formula>$J$27="0.00"</formula>
    </cfRule>
    <cfRule type="expression" dxfId="8" priority="8">
      <formula>SUM($J$28:$J$32)&lt;&gt;$J$27</formula>
    </cfRule>
  </conditionalFormatting>
  <dataValidations xWindow="806" yWindow="476" count="9">
    <dataValidation type="date" operator="greaterThan" allowBlank="1" showInputMessage="1" showErrorMessage="1" errorTitle="FM Date" error="Please enter a date after 12/01/2020." promptTitle="FM Date" prompt="Please enter the date this Funding Memo was generated. The ERD will be entered at the bottom of the page." sqref="B6" xr:uid="{00000000-0002-0000-0300-000000000000}">
      <formula1>44166</formula1>
    </dataValidation>
    <dataValidation type="date" errorStyle="warning" operator="greaterThanOrEqual" allowBlank="1" showErrorMessage="1" error="Please enter a valid date." sqref="D57:E57" xr:uid="{00000000-0002-0000-0300-000001000000}">
      <formula1>42370</formula1>
    </dataValidation>
    <dataValidation type="date" errorStyle="warning" operator="greaterThanOrEqual" allowBlank="1" showInputMessage="1" showErrorMessage="1" error="Please enter a valid date." promptTitle="ERD" prompt="Enter the ERD on the Lender's Entry Screen tab." sqref="D56:E56" xr:uid="{00000000-0002-0000-0300-000002000000}">
      <formula1>44166</formula1>
    </dataValidation>
    <dataValidation allowBlank="1" showInputMessage="1" showErrorMessage="1" promptTitle="CHEEF REEL Account" prompt="Enter the Zions Bank CHEEF REEL Program Account #" sqref="B36 B44 B38 B40 B42" xr:uid="{00000000-0002-0000-0300-000003000000}"/>
    <dataValidation allowBlank="1" showInputMessage="1" showErrorMessage="1" promptTitle="IF THIS IS RED" prompt="This cell auto-populates. If it appears in RED, then the Claim-Eligible Principal entered either exceeds:_x000a_a) Total Principal;_x000a_b) Total Project Cost; or_x000a_c) maximum determined by the 70/30 calculation" sqref="J25" xr:uid="{00000000-0002-0000-0300-000004000000}"/>
    <dataValidation allowBlank="1" showInputMessage="1" promptTitle="Lender Emails" prompt="Enter Lender emails, each separated by a semicolon." sqref="B14:J14" xr:uid="{00000000-0002-0000-0300-000005000000}"/>
    <dataValidation allowBlank="1" promptTitle="Lender Account" prompt="Enter the Zions Bank account number for the Lender's LLR" sqref="J36 J44 J38 J40 J42" xr:uid="{00000000-0002-0000-0300-000006000000}"/>
    <dataValidation allowBlank="1" showInputMessage="1" showErrorMessage="1" prompt="These will turn red if they do not add up to the Total LLR Contribution." sqref="J28:J32" xr:uid="{45C201DD-04BE-42AB-A238-5D13710C9C6E}"/>
    <dataValidation allowBlank="1" showInputMessage="1" showErrorMessage="1" prompt="These will turn red if there is an error in the calculation of the funding ratios. Please see the MS Worksheet tab." sqref="H28:H32" xr:uid="{893A1D6C-53A6-4171-9ED3-496640D53B08}"/>
  </dataValidations>
  <printOptions horizontalCentered="1"/>
  <pageMargins left="0.7" right="0.7" top="1.25" bottom="0.5" header="0" footer="0.3"/>
  <pageSetup scale="73" orientation="portrait" r:id="rId1"/>
  <headerFooter>
    <oddHeader>&amp;L
&amp;G&amp;C
&amp;12
&amp;K6CB33FCALIFORNIA ALTERNATIVE ENERGY AND ADVANCED
TRANSPORTATION FINANCING AUTHORITY&amp;R
&amp;G</oddHeader>
    <oddFooter>&amp;C&amp;"-,Italic"&amp;10  &amp;R&amp;"-,Italic"&amp;10  Revised 5/22/2024</oddFooter>
  </headerFooter>
  <ignoredErrors>
    <ignoredError sqref="H30" 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9</xdr:col>
                    <xdr:colOff>752475</xdr:colOff>
                    <xdr:row>45</xdr:row>
                    <xdr:rowOff>104775</xdr:rowOff>
                  </from>
                  <to>
                    <xdr:col>10</xdr:col>
                    <xdr:colOff>28575</xdr:colOff>
                    <xdr:row>46</xdr:row>
                    <xdr:rowOff>123825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9</xdr:col>
                    <xdr:colOff>752475</xdr:colOff>
                    <xdr:row>46</xdr:row>
                    <xdr:rowOff>104775</xdr:rowOff>
                  </from>
                  <to>
                    <xdr:col>9</xdr:col>
                    <xdr:colOff>952500</xdr:colOff>
                    <xdr:row>47</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876E33F4-B244-4879-AC41-6755410BEA75}">
            <xm:f>COUNTIF('MS worksheet'!$D$29:$D$36,"*ERROR*")&gt;0</xm:f>
            <x14:dxf>
              <fill>
                <patternFill>
                  <bgColor rgb="FFFF0000"/>
                </patternFill>
              </fill>
            </x14:dxf>
          </x14:cfRule>
          <xm:sqref>H28:H32</xm:sqref>
        </x14:conditionalFormatting>
        <x14:conditionalFormatting xmlns:xm="http://schemas.microsoft.com/office/excel/2006/main">
          <x14:cfRule type="expression" priority="71" id="{232F5AB2-765E-4E8B-89EF-36A76720B268}">
            <xm:f>'MS worksheet'!$J$7&gt;'MS worksheet'!#REF!</xm:f>
            <x14:dxf>
              <fill>
                <patternFill>
                  <bgColor rgb="FFFF0000"/>
                </patternFill>
              </fill>
            </x14:dxf>
          </x14:cfRule>
          <x14:cfRule type="expression" priority="72" id="{5FED7FB0-79B7-4AE3-A6A9-7EF9512AC474}">
            <xm:f>'MS worksheet'!$J$10&lt;0.7</xm:f>
            <x14:dxf>
              <fill>
                <patternFill>
                  <bgColor theme="9" tint="-0.24994659260841701"/>
                </patternFill>
              </fill>
            </x14:dxf>
          </x14:cfRule>
          <xm:sqref>J25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sheetPr>
  <dimension ref="A1:T45"/>
  <sheetViews>
    <sheetView topLeftCell="A3" zoomScale="90" zoomScaleNormal="90" workbookViewId="0">
      <selection activeCell="J12" sqref="J12"/>
    </sheetView>
  </sheetViews>
  <sheetFormatPr defaultColWidth="9.140625" defaultRowHeight="15" x14ac:dyDescent="0.25"/>
  <cols>
    <col min="1" max="1" width="5.140625" style="6" customWidth="1"/>
    <col min="2" max="2" width="2.85546875" style="71" customWidth="1"/>
    <col min="3" max="3" width="29" style="71" customWidth="1"/>
    <col min="4" max="8" width="17.42578125" style="6" customWidth="1"/>
    <col min="9" max="9" width="18.5703125" style="6" customWidth="1"/>
    <col min="10" max="10" width="17.42578125" style="120" customWidth="1"/>
    <col min="11" max="15" width="17.42578125" style="6" customWidth="1"/>
    <col min="16" max="16" width="25.5703125" style="6" customWidth="1"/>
    <col min="17" max="18" width="17.42578125" style="6" customWidth="1"/>
    <col min="19" max="19" width="17.42578125" style="6" hidden="1" customWidth="1"/>
    <col min="20" max="20" width="17.140625" style="6" customWidth="1"/>
    <col min="21" max="16384" width="9.140625" style="6"/>
  </cols>
  <sheetData>
    <row r="1" spans="2:13" x14ac:dyDescent="0.25">
      <c r="M1" s="118" t="s">
        <v>213</v>
      </c>
    </row>
    <row r="2" spans="2:13" ht="18.75" x14ac:dyDescent="0.25">
      <c r="B2" s="605">
        <v>1</v>
      </c>
      <c r="C2" s="160"/>
      <c r="D2" s="618" t="s">
        <v>83</v>
      </c>
      <c r="E2" s="618"/>
      <c r="F2" s="618"/>
      <c r="G2" s="618"/>
      <c r="H2" s="618"/>
      <c r="I2" s="618"/>
      <c r="J2" s="619"/>
    </row>
    <row r="3" spans="2:13" ht="18.75" x14ac:dyDescent="0.25">
      <c r="B3" s="606"/>
      <c r="C3" s="161"/>
      <c r="D3" s="607" t="s">
        <v>83</v>
      </c>
      <c r="E3" s="607"/>
      <c r="F3" s="607"/>
      <c r="G3" s="607"/>
      <c r="H3" s="607"/>
      <c r="I3" s="607"/>
      <c r="J3" s="125">
        <f>Total_Project_Cost</f>
        <v>0</v>
      </c>
      <c r="M3" s="6" t="s">
        <v>214</v>
      </c>
    </row>
    <row r="4" spans="2:13" ht="6" customHeight="1" x14ac:dyDescent="0.25">
      <c r="J4" s="123"/>
    </row>
    <row r="5" spans="2:13" ht="18.75" x14ac:dyDescent="0.25">
      <c r="B5" s="605">
        <v>2</v>
      </c>
      <c r="C5" s="160"/>
      <c r="D5" s="616" t="s">
        <v>215</v>
      </c>
      <c r="E5" s="616"/>
      <c r="F5" s="616"/>
      <c r="G5" s="616"/>
      <c r="H5" s="616"/>
      <c r="I5" s="616"/>
      <c r="J5" s="617"/>
    </row>
    <row r="6" spans="2:13" x14ac:dyDescent="0.25">
      <c r="B6" s="606"/>
      <c r="C6" s="612" t="s">
        <v>791</v>
      </c>
      <c r="D6" s="600" t="s">
        <v>216</v>
      </c>
      <c r="E6" s="600"/>
      <c r="F6" s="600"/>
      <c r="G6" s="600"/>
      <c r="H6" s="600"/>
      <c r="I6" s="600"/>
      <c r="J6" s="121">
        <f>Total_Loan_Principal_Amount</f>
        <v>0</v>
      </c>
      <c r="M6" s="6" t="s">
        <v>217</v>
      </c>
    </row>
    <row r="7" spans="2:13" x14ac:dyDescent="0.25">
      <c r="B7" s="606"/>
      <c r="C7" s="612"/>
      <c r="D7" s="615" t="s">
        <v>218</v>
      </c>
      <c r="E7" s="615"/>
      <c r="F7" s="615"/>
      <c r="G7" s="615"/>
      <c r="H7" s="615"/>
      <c r="I7" s="615"/>
      <c r="J7" s="124">
        <f>Claim_Eligible_Principal_Amount</f>
        <v>0</v>
      </c>
      <c r="M7" s="6" t="s">
        <v>217</v>
      </c>
    </row>
    <row r="8" spans="2:13" ht="15.75" x14ac:dyDescent="0.25">
      <c r="B8" s="606"/>
      <c r="C8" s="233"/>
      <c r="D8" s="230"/>
      <c r="E8" s="230"/>
      <c r="F8" s="230"/>
      <c r="G8" s="230"/>
      <c r="H8" s="230"/>
      <c r="I8" s="230"/>
      <c r="J8" s="125"/>
    </row>
    <row r="9" spans="2:13" ht="15.75" thickBot="1" x14ac:dyDescent="0.3">
      <c r="B9" s="606"/>
      <c r="C9" s="612" t="s">
        <v>837</v>
      </c>
      <c r="D9" s="614" t="s">
        <v>838</v>
      </c>
      <c r="E9" s="614"/>
      <c r="F9" s="614"/>
      <c r="G9" s="614"/>
      <c r="H9" s="614"/>
      <c r="I9" s="614"/>
      <c r="J9" s="122">
        <f>Total_Cost_EEMs_and_Directly_Related</f>
        <v>0</v>
      </c>
      <c r="M9" s="6" t="s">
        <v>214</v>
      </c>
    </row>
    <row r="10" spans="2:13" ht="16.5" thickTop="1" thickBot="1" x14ac:dyDescent="0.3">
      <c r="B10" s="606"/>
      <c r="C10" s="612"/>
      <c r="D10" s="608" t="s">
        <v>839</v>
      </c>
      <c r="E10" s="608"/>
      <c r="F10" s="608"/>
      <c r="G10" s="608"/>
      <c r="H10" s="608"/>
      <c r="I10" s="608"/>
      <c r="J10" s="265" t="e">
        <f>IF(J9/J7&gt;1,1,J9/J7)</f>
        <v>#DIV/0!</v>
      </c>
      <c r="M10" s="6" t="s">
        <v>840</v>
      </c>
    </row>
    <row r="11" spans="2:13" ht="32.25" customHeight="1" thickTop="1" x14ac:dyDescent="0.25">
      <c r="B11" s="611"/>
      <c r="C11" s="613"/>
      <c r="D11" s="609" t="s">
        <v>790</v>
      </c>
      <c r="E11" s="609"/>
      <c r="F11" s="609"/>
      <c r="G11" s="609"/>
      <c r="H11" s="610"/>
      <c r="I11" s="610"/>
      <c r="J11" s="355">
        <f>MIN(J3,J9/Required_EEMs_Percent_VL)</f>
        <v>0</v>
      </c>
      <c r="M11" s="6" t="s">
        <v>809</v>
      </c>
    </row>
    <row r="12" spans="2:13" ht="6" customHeight="1" x14ac:dyDescent="0.25"/>
    <row r="13" spans="2:13" ht="18.75" x14ac:dyDescent="0.25">
      <c r="B13" s="605">
        <v>3</v>
      </c>
      <c r="C13" s="271"/>
      <c r="D13" s="601" t="s">
        <v>219</v>
      </c>
      <c r="E13" s="601"/>
      <c r="F13" s="601"/>
      <c r="G13" s="601"/>
      <c r="H13" s="601"/>
      <c r="I13" s="601"/>
      <c r="J13" s="602"/>
    </row>
    <row r="14" spans="2:13" ht="18.75" x14ac:dyDescent="0.25">
      <c r="B14" s="606"/>
      <c r="C14" s="272"/>
      <c r="D14" s="600" t="s">
        <v>220</v>
      </c>
      <c r="E14" s="600"/>
      <c r="F14" s="600"/>
      <c r="G14" s="600"/>
      <c r="H14" s="600"/>
      <c r="I14" s="600"/>
      <c r="J14" s="181" t="str">
        <f>IF(Underserved_Entry=0,"",Underserved_Entry)</f>
        <v/>
      </c>
      <c r="M14" s="6" t="s">
        <v>221</v>
      </c>
    </row>
    <row r="15" spans="2:13" ht="18.75" x14ac:dyDescent="0.25">
      <c r="B15" s="606"/>
      <c r="C15" s="272"/>
      <c r="D15" s="600" t="s">
        <v>222</v>
      </c>
      <c r="E15" s="600"/>
      <c r="F15" s="600"/>
      <c r="G15" s="600"/>
      <c r="H15" s="600"/>
      <c r="I15" s="600"/>
      <c r="J15" s="126">
        <f>IF(Underserved_Entry="",0,IF(AND(Original_loan_Amt&gt;5000,Borrower_is_LMI="No"),LLR_5_percent,IF(Underserved_Entry&lt;&gt;"No",LLR_20_Percent,LLR_11_Percent)))</f>
        <v>0</v>
      </c>
      <c r="M15" s="6" t="s">
        <v>810</v>
      </c>
    </row>
    <row r="16" spans="2:13" x14ac:dyDescent="0.25">
      <c r="B16" s="606"/>
      <c r="C16" s="273"/>
      <c r="D16" s="607" t="s">
        <v>223</v>
      </c>
      <c r="E16" s="607"/>
      <c r="F16" s="607"/>
      <c r="G16" s="607"/>
      <c r="H16" s="607"/>
      <c r="I16" s="607"/>
      <c r="J16" s="125">
        <f>MIN(J7,J11)</f>
        <v>0</v>
      </c>
      <c r="M16" s="6" t="s">
        <v>224</v>
      </c>
    </row>
    <row r="17" spans="1:20" ht="18.75" x14ac:dyDescent="0.25">
      <c r="B17" s="606"/>
      <c r="C17" s="272"/>
      <c r="D17" s="607" t="s">
        <v>225</v>
      </c>
      <c r="E17" s="607"/>
      <c r="F17" s="607"/>
      <c r="G17" s="607"/>
      <c r="H17" s="607"/>
      <c r="I17" s="607"/>
      <c r="J17" s="125">
        <f>LLR_Percent*LLR_Basis</f>
        <v>0</v>
      </c>
      <c r="M17" s="6" t="s">
        <v>226</v>
      </c>
    </row>
    <row r="18" spans="1:20" ht="18.75" x14ac:dyDescent="0.25">
      <c r="B18" s="231"/>
      <c r="C18" s="272"/>
      <c r="D18" s="274"/>
      <c r="E18" s="274"/>
      <c r="F18" s="274"/>
      <c r="G18" s="274"/>
      <c r="H18" s="274"/>
      <c r="I18" s="274" t="s">
        <v>591</v>
      </c>
      <c r="J18" s="182">
        <f>IF(OR(TECH_Yes_No="Yes",CEC_YES_NO="Yes"),LLR_Contribution_Amount*Cost_Ratio_PPP,LLR_Contribution_Amount)</f>
        <v>0</v>
      </c>
    </row>
    <row r="19" spans="1:20" ht="18.75" x14ac:dyDescent="0.25">
      <c r="B19" s="231"/>
      <c r="C19" s="272"/>
      <c r="D19" s="274"/>
      <c r="E19" s="274"/>
      <c r="F19" s="274"/>
      <c r="G19" s="274"/>
      <c r="H19" s="274"/>
      <c r="I19" s="274" t="s">
        <v>590</v>
      </c>
      <c r="J19" s="182">
        <f>IF(TECH_Yes_No="Yes",
IF(Cost_Ratio_Palo_Alto=1,0,
IF(LLR_PPP_Amount+LLR_Contribution_Amount*Cost_Ratio_TECH+LLR_Contribution_Amount*Cost_ratio_TECH_Bridge=LLR_Contribution_Amount,LLR_Contribution_Amount*Cost_Ratio_TECH,LLR_Contribution_Amount-LLR_PPP_Amount-LLR_Contribution_Amount*Cost_ratio_TECH_Bridge)),0)</f>
        <v>0</v>
      </c>
    </row>
    <row r="20" spans="1:20" ht="18.75" x14ac:dyDescent="0.25">
      <c r="B20" s="231"/>
      <c r="C20" s="272"/>
      <c r="D20" s="274"/>
      <c r="E20" s="274"/>
      <c r="F20" s="274"/>
      <c r="G20" s="274"/>
      <c r="H20" s="274"/>
      <c r="I20" s="274" t="s">
        <v>871</v>
      </c>
      <c r="J20" s="182">
        <f>IF(TECH_Yes_No="Yes",
IF(Cost_Ratio_Palo_Alto=1,0,
IF(LLR_PPP_Amount+LLR_Contribution_Amount*Cost_Ratio_TECH+LLR_Contribution_Amount*Cost_ratio_TECH_Bridge=LLR_Contribution_Amount,LLR_Contribution_Amount*Cost_ratio_TECH_Bridge,LLR_Contribution_Amount-LLR_PPP_Amount-LLR_Contribution_Amount*Cost_Ratio_TECH)),0)</f>
        <v>0</v>
      </c>
    </row>
    <row r="21" spans="1:20" ht="18.75" hidden="1" x14ac:dyDescent="0.25">
      <c r="B21" s="231"/>
      <c r="C21" s="272"/>
      <c r="D21" s="274"/>
      <c r="E21" s="274"/>
      <c r="F21" s="274"/>
      <c r="G21" s="274"/>
      <c r="H21" s="274"/>
      <c r="I21" s="274" t="s">
        <v>909</v>
      </c>
      <c r="J21" s="182">
        <f>IF(CEC_YES_NO="Yes",
IF(Cost_Ratio_Palo_Alto=1,0,
IF(LLR_PPP_Amount+LLR_Contribution_Amount*Cost_Ratio_CEC=LLR_Contribution_Amount,LLR_Contribution_Amount*Cost_Ratio_CEC,LLR_Contribution_Amount-LLR_PPP_Amount)),0)</f>
        <v>0</v>
      </c>
    </row>
    <row r="22" spans="1:20" ht="18.75" x14ac:dyDescent="0.25">
      <c r="B22" s="232"/>
      <c r="C22" s="275"/>
      <c r="D22" s="171"/>
      <c r="E22" s="171"/>
      <c r="F22" s="171"/>
      <c r="G22" s="171"/>
      <c r="H22" s="171"/>
      <c r="I22" s="276" t="s">
        <v>736</v>
      </c>
      <c r="J22" s="277">
        <f>IFERROR(LLR_Contribution_Amount*Cost_Ratio_Palo_Alto,0)</f>
        <v>0</v>
      </c>
    </row>
    <row r="23" spans="1:20" ht="6.75" customHeight="1" thickBot="1" x14ac:dyDescent="0.3">
      <c r="D23" s="91"/>
      <c r="E23" s="91"/>
      <c r="F23" s="91"/>
      <c r="G23" s="91"/>
    </row>
    <row r="24" spans="1:20" ht="15.75" thickBot="1" x14ac:dyDescent="0.3">
      <c r="B24" s="6"/>
      <c r="C24" s="120" t="s">
        <v>227</v>
      </c>
      <c r="D24" s="603" t="str">
        <f>Electric_Utility_Type</f>
        <v/>
      </c>
      <c r="E24" s="604"/>
      <c r="F24" s="120" t="s">
        <v>526</v>
      </c>
      <c r="G24" s="598" t="str">
        <f>IF(Electric_Utility_Name="","",Electric_Utility_Name)</f>
        <v/>
      </c>
      <c r="H24" s="599"/>
    </row>
    <row r="25" spans="1:20" ht="15.75" thickBot="1" x14ac:dyDescent="0.3">
      <c r="B25" s="6"/>
      <c r="C25" s="120" t="s">
        <v>228</v>
      </c>
      <c r="D25" s="603" t="str">
        <f>Gas_Utility_Type</f>
        <v/>
      </c>
      <c r="E25" s="604"/>
      <c r="F25" s="120" t="s">
        <v>527</v>
      </c>
      <c r="G25" s="598" t="str">
        <f>IF(Gas_Utility_Name="","",Gas_Utility_Name)</f>
        <v/>
      </c>
      <c r="H25" s="599"/>
    </row>
    <row r="26" spans="1:20" s="74" customFormat="1" ht="22.5" x14ac:dyDescent="0.25">
      <c r="C26" s="247" t="s">
        <v>689</v>
      </c>
      <c r="D26" s="382" t="s">
        <v>859</v>
      </c>
      <c r="E26" s="382" t="s">
        <v>879</v>
      </c>
      <c r="F26" s="249" t="s">
        <v>842</v>
      </c>
      <c r="G26" s="245" t="s">
        <v>622</v>
      </c>
      <c r="H26" s="249" t="s">
        <v>623</v>
      </c>
      <c r="I26" s="248" t="s">
        <v>624</v>
      </c>
      <c r="J26" s="245" t="s">
        <v>691</v>
      </c>
      <c r="K26" s="245" t="s">
        <v>692</v>
      </c>
      <c r="L26" s="245" t="s">
        <v>693</v>
      </c>
      <c r="M26" s="250" t="s">
        <v>694</v>
      </c>
      <c r="N26" s="248" t="s">
        <v>695</v>
      </c>
      <c r="O26" s="255" t="s">
        <v>696</v>
      </c>
      <c r="P26" s="281" t="s">
        <v>605</v>
      </c>
      <c r="Q26" s="282" t="s">
        <v>606</v>
      </c>
      <c r="R26" s="282" t="s">
        <v>874</v>
      </c>
      <c r="S26" s="282" t="s">
        <v>910</v>
      </c>
      <c r="T26" s="286" t="s">
        <v>727</v>
      </c>
    </row>
    <row r="27" spans="1:20" s="243" customFormat="1" x14ac:dyDescent="0.25">
      <c r="C27" s="244" t="s">
        <v>690</v>
      </c>
      <c r="D27" s="249"/>
      <c r="E27" s="249"/>
      <c r="F27" s="249"/>
      <c r="G27" s="245" t="s">
        <v>664</v>
      </c>
      <c r="H27" s="249" t="s">
        <v>665</v>
      </c>
      <c r="I27" s="248" t="s">
        <v>666</v>
      </c>
      <c r="J27" s="245" t="s">
        <v>667</v>
      </c>
      <c r="K27" s="245" t="s">
        <v>668</v>
      </c>
      <c r="L27" s="245" t="s">
        <v>669</v>
      </c>
      <c r="M27" s="250" t="s">
        <v>670</v>
      </c>
      <c r="N27" s="248" t="s">
        <v>671</v>
      </c>
      <c r="O27" s="255" t="s">
        <v>672</v>
      </c>
      <c r="P27" s="279" t="s">
        <v>673</v>
      </c>
      <c r="Q27" s="285" t="s">
        <v>674</v>
      </c>
      <c r="R27" s="285" t="s">
        <v>876</v>
      </c>
      <c r="S27" s="285" t="s">
        <v>877</v>
      </c>
      <c r="T27" s="287" t="s">
        <v>737</v>
      </c>
    </row>
    <row r="28" spans="1:20" s="246" customFormat="1" ht="86.45" customHeight="1" x14ac:dyDescent="0.25">
      <c r="C28" s="244" t="s">
        <v>587</v>
      </c>
      <c r="D28" s="249" t="s">
        <v>688</v>
      </c>
      <c r="E28" s="249"/>
      <c r="F28" s="249" t="s">
        <v>841</v>
      </c>
      <c r="G28" s="245" t="s">
        <v>843</v>
      </c>
      <c r="H28" s="249" t="s">
        <v>844</v>
      </c>
      <c r="I28" s="248" t="s">
        <v>845</v>
      </c>
      <c r="J28" s="245" t="s">
        <v>846</v>
      </c>
      <c r="K28" s="245" t="s">
        <v>847</v>
      </c>
      <c r="L28" s="245" t="s">
        <v>848</v>
      </c>
      <c r="M28" s="250" t="s">
        <v>849</v>
      </c>
      <c r="N28" s="248" t="s">
        <v>850</v>
      </c>
      <c r="O28" s="255" t="s">
        <v>851</v>
      </c>
      <c r="P28" s="279" t="s">
        <v>852</v>
      </c>
      <c r="Q28" s="285" t="s">
        <v>853</v>
      </c>
      <c r="R28" s="285" t="s">
        <v>882</v>
      </c>
      <c r="S28" s="285" t="s">
        <v>886</v>
      </c>
      <c r="T28" s="284" t="s">
        <v>854</v>
      </c>
    </row>
    <row r="29" spans="1:20" x14ac:dyDescent="0.25">
      <c r="A29" s="591" t="s">
        <v>855</v>
      </c>
      <c r="B29" s="6">
        <v>1</v>
      </c>
      <c r="C29" s="136" t="str">
        <f>EEMs_ID_1</f>
        <v/>
      </c>
      <c r="D29" s="195" t="str">
        <f>IF(C29="","",IFERROR(IF(
AND(INDEX(Measures_All[Elec?],MATCH(C29,Measures_All[All Valid Measures],0),1)="Yes",INDEX(Measures_All[Gas?],MATCH(C29,Measures_All[All Valid Measures],0),1)="Yes"),"Both",
IF(AND(INDEX(Measures_All[Elec?],MATCH(C29,Measures_All[All Valid Measures],0),1)="Yes",INDEX(Measures_All[Gas?],MATCH(C29,Measures_All[All Valid Measures],0),1)="No"),"Electric",
IF(AND(INDEX(Measures_All[Elec?],MATCH(C29,Measures_All[All Valid Measures],0),1)="No",INDEX(Measures_All[Gas?],MATCH(C29,Measures_All[All Valid Measures],0),1)="Yes"),"Gas","---ERROR---"))),"---ERROR---"))</f>
        <v/>
      </c>
      <c r="E29" s="195" t="str">
        <f>IF(C29="","",IF(OR(C29="WH-HP55",C29="HV-MSHP",C29="HV-MSPL",C29="HV-HPMP"),"Yes HP","No HP"))</f>
        <v/>
      </c>
      <c r="F29" s="166" t="str">
        <f>IF(OR(D29="---ERROR---",D29=""),"",EEMs_Cost_1)</f>
        <v/>
      </c>
      <c r="G29" s="168" t="str">
        <f t="shared" ref="G29:G38" si="0">IF(F29=0,0,
IF(F29="","",
IF(D29="Electric",F29,
IF(D29="Gas",0,
IF(D29="Both",F29/2,
"Check Fuel Elig")))))</f>
        <v/>
      </c>
      <c r="H29" s="169" t="str">
        <f t="shared" ref="H29:H38" si="1">IF(F29=0,0,
IF(F29="","",
IF(D29="Electric",0,
IF(D29="Gas",F29,
IF(D29="Both",F29/2,"Check Fuel Elig")))))</f>
        <v/>
      </c>
      <c r="I29" s="227" t="str">
        <f t="shared" ref="I29:I38" si="2">IF(F29=0,0,
IF(F29="","",
IF(AND(Electric_Utility_Type="Big 4 IOU",Gas_Utility_Type="Big 4 IOU"),G29+H29,
IF(AND(Electric_Utility_Type="Big 4 IOU",Gas_Utility_Type="POU or Co-op"),G29,
IF(AND(Electric_Utility_Type="Big 4 IOU",Gas_Utility_Type="Small IOU"),G29,
IF(AND(Electric_Utility_Type="Big 4 IOU",Gas_Utility_Type="None"),G29+H29,
IF(AND(Electric_Utility_Type="POU or Co-op",Gas_Utility_Type="Big 4 IOU"),H29,
IF(AND(Electric_Utility_Type="POU or Co-op",Gas_Utility_Type="POU or Co-op"),0,
IF(AND(Electric_Utility_Type="POU or Co-op",Gas_Utility_Type="Small IOU"),"Check Utility",
IF(AND(Electric_Utility_Type="POU or Co-op",Gas_Utility_Type="None"),"Check Utility",
IF(AND(Electric_Utility_Type="Small IOU",Gas_Utility_Type="Big 4 IOU"),H29,
IF(AND(Electric_Utility_Type="Small IOU",Gas_Utility_Type="POU or Co-op"),"Check Utility",
IF(AND(Electric_Utility_Type="Small IOU",Gas_Utility_Type="Small IOU"),"Check Utility",
IF(AND(Electric_Utility_Type="Small IOU",Gas_Utility_Type="None"),"Check Utility",
IF(AND(Electric_Utility_Type="None",Gas_Utility_Type="Big 4 IOU"),G29+H29,"Check Utility")))))))))))))))</f>
        <v/>
      </c>
      <c r="J29" s="174" t="str">
        <f t="shared" ref="J29:J38" si="3">IF(F29=0,0,
IF(F29="","",
IF(AND(Electric_Utility_Type="Big 4 IOU",Gas_Utility_Type="Big 4 IOU"),0,
IF(AND(Electric_Utility_Type="Big 4 IOU",Gas_Utility_Type="POU or Co-op"),0,
IF(AND(Electric_Utility_Type="Big 4 IOU",Gas_Utility_Type="Small IOU"),0,
IF(AND(Electric_Utility_Type="Big 4 IOU",Gas_Utility_Type="None"),0,
IF(AND(Electric_Utility_Type="POU or Co-op",Gas_Utility_Type="Big 4 IOU"),G29,
IF(AND(Electric_Utility_Type="POU or Co-op",Gas_Utility_Type="POU or Co-op"),G29,
IF(AND(Electric_Utility_Type="POU or Co-op",Gas_Utility_Type="Small IOU"),"Check Utility",
IF(AND(Electric_Utility_Type="POU or Co-op",Gas_Utility_Type="None"),"Check Utility",
IF(AND(Electric_Utility_Type="Small IOU",Gas_Utility_Type="Big 4 IOU"),G29,
IF(AND(Electric_Utility_Type="Small IOU",Gas_Utility_Type="POU or Co-op"),"Check Utility",
IF(AND(Electric_Utility_Type="Small IOU",Gas_Utility_Type="Small IOU"),"Check Utility",
IF(AND(Electric_Utility_Type="Small IOU",Gas_Utility_Type="None"),"Check Utility",
IF(Electric_Utility_Type="None",0,"Check Utility")))))))))))))))</f>
        <v/>
      </c>
      <c r="K29" s="228" t="str">
        <f t="shared" ref="K29:K38" si="4">IF(F29=0,0,
IF(F29="","",
IF(AND(Electric_Utility_Type="Big 4 IOU",Gas_Utility_Type="Big 4 IOU"),0,
IF(AND(Electric_Utility_Type="Big 4 IOU",Gas_Utility_Type="POU or Co-op"),H29,
IF(AND(Electric_Utility_Type="Big 4 IOU",Gas_Utility_Type="Small IOU"),H29,
IF(AND(Electric_Utility_Type="Big 4 IOU",Gas_Utility_Type="None"),0,
IF(AND(Electric_Utility_Type="POU or Co-op",Gas_Utility_Type="Big 4 IOU"),0,
IF(AND(Electric_Utility_Type="POU or Co-op",Gas_Utility_Type="POU or Co-op"),H29,
IF(AND(Electric_Utility_Type="POU or Co-op",Gas_Utility_Type="Small IOU"),"Check Utility",
IF(AND(Electric_Utility_Type="POU or Co-op",Gas_Utility_Type="None"),"Check Utility",
IF(AND(Electric_Utility_Type="Small IOU",Gas_Utility_Type="Big 4 IOU"),0,
IF(AND(Electric_Utility_Type="Small IOU",Gas_Utility_Type="POU or Co-op"),"Check Utility",
IF(AND(Electric_Utility_Type="Small IOU",Gas_Utility_Type="Small IOU"),"Check Utility",
IF(AND(Electric_Utility_Type="Small IOU",Gas_Utility_Type="None"),"Check Utility",
IF(Electric_Utility_Type="None",0,"Check Utility")))))))))))))))</f>
        <v/>
      </c>
      <c r="L29" s="170" t="str">
        <f t="shared" ref="L29:L38" si="5">IF(F29=0,0,
IF(F29="","",
IF(AND(Electric_Utility_Type="Big 4 IOU",Gas_Utility_Type="Big 4 IOU"),0,
IF(AND(Electric_Utility_Type="Big 4 IOU",Gas_Utility_Type="POU or Co-op"),0,
IF(AND(Electric_Utility_Type="Big 4 IOU",Gas_Utility_Type="Small IOU"),0,
IF(AND(Electric_Utility_Type="Big 4 IOU",Gas_Utility_Type="None"),0,
IF(AND(Electric_Utility_Type="POU or Co-op",Gas_Utility_Type="Big 4 IOU"),G29,
IF(AND(Electric_Utility_Type="POU or Co-op",Gas_Utility_Type="POU or Co-op"),G29,
IF(AND(Electric_Utility_Type="POU or Co-op",Gas_Utility_Type="Small IOU"),"Check Utility",
IF(AND(Electric_Utility_Type="POU or Co-op",Gas_Utility_Type="None"),"Check Utility",
IF(AND(Electric_Utility_Type="Small IOU",Gas_Utility_Type="Big 4 IOU"),0,
IF(AND(Electric_Utility_Type="Small IOU",Gas_Utility_Type="POU or Co-op"),"Check Utility",
IF(AND(Electric_Utility_Type="Small IOU",Gas_Utility_Type="Small IOU"),"Check Utility",
IF(AND(Electric_Utility_Type="Small IOU",Gas_Utility_Type="None"),"Check Utility",
IF(Electric_Utility_Type="None",0,"Check Utility")))))))))))))))</f>
        <v/>
      </c>
      <c r="M29" s="175" t="str">
        <f t="shared" ref="M29:M38" si="6">IF(F29=0,0,
IF(F29="","",
IF(AND(Electric_Utility_Type="Big 4 IOU",Gas_Utility_Type="Big 4 IOU"),0,
IF(AND(Electric_Utility_Type="Big 4 IOU",Gas_Utility_Type="POU or Co-op"),0,
IF(AND(Electric_Utility_Type="Big 4 IOU",Gas_Utility_Type="Small IOU"),0,
IF(AND(Electric_Utility_Type="Big 4 IOU",Gas_Utility_Type="None"),0,
IF(AND(Electric_Utility_Type="POU or Co-op",Gas_Utility_Type="Big 4 IOU"),0,
IF(AND(Electric_Utility_Type="POU or Co-op",Gas_Utility_Type="POU or Co-op"),0,
IF(AND(Electric_Utility_Type="POU or Co-op",Gas_Utility_Type="Small IOU"),"Check Utility",
IF(AND(Electric_Utility_Type="POU or Co-op",Gas_Utility_Type="None"),"Check Utility",
IF(AND(Electric_Utility_Type="Small IOU",Gas_Utility_Type="Big 4 IOU"),G29,
IF(AND(Electric_Utility_Type="Small IOU",Gas_Utility_Type="POU or Co-op"),"Check Utility",
IF(AND(Electric_Utility_Type="Small IOU",Gas_Utility_Type="Small IOU"),"Check Utility",
IF(AND(Electric_Utility_Type="Small IOU",Gas_Utility_Type="None"),"Check Utility",
IF(Electric_Utility_Type="None",0,"Check Utility")))))))))))))))</f>
        <v/>
      </c>
      <c r="N29" s="170" t="str">
        <f t="shared" ref="N29:N38" si="7">IF(F29=0,0,
IF(F29="","",
IF(AND(Electric_Utility_Type="Big 4 IOU",Gas_Utility_Type="Big 4 IOU"),0,
IF(AND(Electric_Utility_Type="Big 4 IOU",Gas_Utility_Type="POU or Co-op"),H29,
IF(AND(Electric_Utility_Type="Big 4 IOU",Gas_Utility_Type="Small IOU"),0,
IF(AND(Electric_Utility_Type="Big 4 IOU",Gas_Utility_Type="None"),0,
IF(AND(Electric_Utility_Type="POU or Co-op",Gas_Utility_Type="Big 4 IOU"),0,
IF(AND(Electric_Utility_Type="POU or Co-op",Gas_Utility_Type="POU or Co-op"),H29,
IF(AND(Electric_Utility_Type="POU or Co-op",Gas_Utility_Type="Small IOU"),"Check Utility",
IF(AND(Electric_Utility_Type="POU or Co-op",Gas_Utility_Type="None"),"Check Utility",
IF(AND(Electric_Utility_Type="Small IOU",Gas_Utility_Type="Big 4 IOU"),0,
IF(AND(Electric_Utility_Type="Small IOU",Gas_Utility_Type="POU or Co-op"),"Check Utility",
IF(AND(Electric_Utility_Type="Small IOU",Gas_Utility_Type="Small IOU"),"Check Utility",
IF(AND(Electric_Utility_Type="Small IOU",Gas_Utility_Type="None"),"Check Utility",
IF(Electric_Utility_Type="None",0,"Check Utility")))))))))))))))</f>
        <v/>
      </c>
      <c r="O29" s="170" t="str">
        <f t="shared" ref="O29:O38" si="8">IF(F29=0,0,
IF(F29="","",
IF(AND(Electric_Utility_Type="Big 4 IOU",Gas_Utility_Type="Big 4 IOU"),0,
IF(AND(Electric_Utility_Type="Big 4 IOU",Gas_Utility_Type="POU or Co-op"),0,
IF(AND(Electric_Utility_Type="Big 4 IOU",Gas_Utility_Type="Small IOU"),H29,
IF(AND(Electric_Utility_Type="Big 4 IOU",Gas_Utility_Type="None"),0,
IF(AND(Electric_Utility_Type="POU or Co-op",Gas_Utility_Type="Big 4 IOU"),0,
IF(AND(Electric_Utility_Type="POU or Co-op",Gas_Utility_Type="POU or Co-op"),0,
IF(AND(Electric_Utility_Type="POU or Co-op",Gas_Utility_Type="Small IOU"),"Check Utility",
IF(AND(Electric_Utility_Type="POU or Co-op",Gas_Utility_Type="None"),"Check Utility",
IF(AND(Electric_Utility_Type="Small IOU",Gas_Utility_Type="Big 4 IOU"),0,
IF(AND(Electric_Utility_Type="Small IOU",Gas_Utility_Type="POU or Co-op"),"Check Utility",
IF(AND(Electric_Utility_Type="Small IOU",Gas_Utility_Type="Small IOU"),"Check Utility",
IF(AND(Electric_Utility_Type="Small IOU",Gas_Utility_Type="None"),"Check Utility",
IF(Electric_Utility_Type="None",0,"Check Utility")))))))))))))))</f>
        <v/>
      </c>
      <c r="P29" s="278" t="str">
        <f t="shared" ref="P29:P38" si="9">IF(OR(TECH_Yes_No="Yes",CEC_YES_NO="Yes"),
IF($F29=0,0,
IF($F29="","",
IF($D29="Electric",
IF(AND(Electric_Utility_Type="Big 4 IOU",Gas_Utility_Type="Big 4 IOU"),$F29,
IF(AND(Electric_Utility_Type="POU or Co-op",Gas_Utility_Type="Big 4 IOU"),0,
IF(AND(Electric_Utility_Type&lt;&gt;"POU or Co-op",Gas_Utility_Type="Big 4 IOU"),$F29,
IF(AND(Electric_Utility_Type&lt;&gt;"Big 4 IOU",Gas_Utility_Type&lt;&gt;"Big 4 IOU"),0,
IF(AND(Electric_Utility_Type="POU or Co-op",Gas_Utility_Type="POU or Co-op"),$F29,
IF(AND(Electric_Utility_Type="Big 4 IOU",Gas_Utility_Type&lt;&gt;"Big 4 IOU"),$F29,"TEST1")))))),
IF($D29="Gas",
IF(AND(Electric_Utility_Type="Big 4 IOU",Gas_Utility_Type="Big 4 IOU"),$F29,
IF(AND(Electric_Utility_Type="Big 4 IOU",Gas_Utility_Type&lt;&gt;"Big 4 IOU"),$F29,
IF(AND(Electric_Utility_Type&lt;&gt;"Big 4 IOU",Gas_Utility_Type&lt;&gt;"Big 4 IOU"),0+N("Keeping for possible Palo Alto dual-POU in the future for simplicity"),
IF(AND(Electric_Utility_Type&lt;&gt;"Big 4 IOU",Gas_Utility_Type="Big 4 IOU"),$F29,"TEST2")))),
IF($D29="Both",
IF(AND(Electric_Utility_Type="Big 4 IOU",Gas_Utility_Type="Big 4 IOU"),$F29,
IF(AND(Electric_Utility_Type="Big 4 IOU",Gas_Utility_Type&lt;&gt;"Big 4 IOU"),$F29+N("At least one utility must be an IOU, and dual-eligible measures are allocated to IOU cost"),
IF(AND(Electric_Utility_Type&lt;&gt;"Big 4 IOU",Gas_Utility_Type&lt;&gt;"Big 4 IOU"),0,
IF(AND(Electric_Utility_Type="POU or Co-op",Gas_Utility_Type="POU or Co-op"),$F29,
IF(AND(Electric_Utility_Type&lt;&gt;"Big 4 IOU",Gas_Utility_Type="Big 4 IOU"),$F29+N("At least one utility must be an IOU, and dual-eligible measures are allocated to IOU cost"),
"TEST3")))))))))),$F29)</f>
        <v/>
      </c>
      <c r="Q29" s="280" t="str">
        <f t="shared" ref="Q29:Q38" si="10">IF(TECH_Yes_No="Yes",
IF($F29=0,0,
IF($F29="","",
IF($D29="Electric",
IF(AND(Electric_Utility_Type="Big 4 IOU",Gas_Utility_Type="Big 4 IOU"),0,
IF(AND(Electric_Utility_Type="POU or Co-op",Gas_Utility_Type="Big 4 IOU",$E29="No HP"),$F29,
IF(AND(Electric_Utility_Type="POU or Co-op",Gas_Utility_Type="Big 4 IOU",$E29="Yes HP"),0,
IF(AND(Electric_Utility_Type&lt;&gt;"POU or Co-op",Gas_Utility_Type="Big 4 IOU"),0,
IF(AND(Electric_Utility_Type&lt;&gt;"Big 4 IOU",Gas_Utility_Type&lt;&gt;"Big 4 IOU"),0,
IF(AND(Electric_Utility_Type="Big 4 IOU",Gas_Utility_Type&lt;&gt;"Big 4 IOU"),0,"TEST1")))))),
IF($D29="Gas",0,
IF($D29="Both",0,"TEST3"))))),"")</f>
        <v/>
      </c>
      <c r="R29" s="280" t="str">
        <f>IF(TECH_Yes_No="Yes",
IF($F29=0,0,
IF($F29="","",
IF($D29="Electric",
IF(AND(Electric_Utility_Type="Big 4 IOU",Gas_Utility_Type="Big 4 IOU"),0,
IF(AND(Electric_Utility_Type="POU or Co-op",Gas_Utility_Type="Big 4 IOU",$E29="Yes HP"),$F29,
IF(AND(Electric_Utility_Type="POU or Co-op",Gas_Utility_Type="Big 4 IOU",$E29="No HP"),0,
IF(AND(Electric_Utility_Type&lt;&gt;"POU or Co-op",Gas_Utility_Type="Big 4 IOU"),0,
IF(AND(Electric_Utility_Type&lt;&gt;"Big 4 IOU",Gas_Utility_Type&lt;&gt;"Big 4 IOU"),0,
IF(AND(Electric_Utility_Type="Big 4 IOU",Gas_Utility_Type&lt;&gt;"Big 4 IOU"),0,"")))))),
IF($D29="Gas",0,
IF($D29="Both",0,"TEST3"))))),"")</f>
        <v/>
      </c>
      <c r="S29" s="280" t="str">
        <f t="shared" ref="S29:S38" si="11">IF(CEC_YES_NO="Yes",
IF($F29=0,0,
IF($F29="","",
IF($D29="Electric",
IF(AND(Electric_Utility_Type="Big 4 IOU",Gas_Utility_Type="Big 4 IOU"),0,
IF(AND(Electric_Utility_Type="POU or Co-op",Gas_Utility_Type="Big 4 IOU",$E29="Yes HP"),$F29,
IF(AND(Electric_Utility_Type="POU or Co-op",Gas_Utility_Type="Big 4 IOU",$E29="No HP"),"Check Invoice",
IF(AND(Electric_Utility_Type&lt;&gt;"POU or Co-op",Gas_Utility_Type="Big 4 IOU"),0,
IF(AND(Electric_Utility_Type&lt;&gt;"Big 4 IOU",Gas_Utility_Type&lt;&gt;"Big 4 IOU"),0,
IF(AND(Electric_Utility_Type="Big 4 IOU",Gas_Utility_Type&lt;&gt;"Big 4 IOU"),0,"")))))),
IF($D29="Gas",0,
IF($D29="Both",0,"TEST3"))))),"")</f>
        <v/>
      </c>
      <c r="T29" s="283" t="str">
        <f t="shared" ref="T29:T38" si="12">IF(F29=0,0,
IF(F29="","",
IF(AND(Electric_Utility_Type="POU or Co-op",Gas_Utility_Type="POU or Co-op"),F29,"")))</f>
        <v/>
      </c>
    </row>
    <row r="30" spans="1:20" x14ac:dyDescent="0.25">
      <c r="A30" s="591"/>
      <c r="B30" s="6">
        <v>2</v>
      </c>
      <c r="C30" s="136" t="str">
        <f>EEMs_ID_2</f>
        <v/>
      </c>
      <c r="D30" s="195" t="str">
        <f>IF(C30="","",IFERROR(IF(
AND(INDEX(Measures_All[Elec?],MATCH(C30,Measures_All[All Valid Measures],0),1)="Yes",INDEX(Measures_All[Gas?],MATCH(C30,Measures_All[All Valid Measures],0),1)="Yes"),"Both",
IF(AND(INDEX(Measures_All[Elec?],MATCH(C30,Measures_All[All Valid Measures],0),1)="Yes",INDEX(Measures_All[Gas?],MATCH(C30,Measures_All[All Valid Measures],0),1)="No"),"Electric",
IF(AND(INDEX(Measures_All[Elec?],MATCH(C30,Measures_All[All Valid Measures],0),1)="No",INDEX(Measures_All[Gas?],MATCH(C30,Measures_All[All Valid Measures],0),1)="Yes"),"Gas","---ERROR---"))),"---ERROR---"))</f>
        <v/>
      </c>
      <c r="E30" s="195" t="str">
        <f>IF(C30="","",IF(OR(C30="WH-HP55",C30="HV-MSHP",C30="HV-MSPL",C30="HV-HPMP"),"Yes HP","No HP"))</f>
        <v/>
      </c>
      <c r="F30" s="166" t="str">
        <f>IF(OR(D30="---ERROR---",D30=""),"",EEMs_Cost_2)</f>
        <v/>
      </c>
      <c r="G30" s="168" t="str">
        <f t="shared" si="0"/>
        <v/>
      </c>
      <c r="H30" s="169" t="str">
        <f t="shared" si="1"/>
        <v/>
      </c>
      <c r="I30" s="227" t="str">
        <f t="shared" si="2"/>
        <v/>
      </c>
      <c r="J30" s="174" t="str">
        <f t="shared" si="3"/>
        <v/>
      </c>
      <c r="K30" s="228" t="str">
        <f t="shared" si="4"/>
        <v/>
      </c>
      <c r="L30" s="170" t="str">
        <f t="shared" si="5"/>
        <v/>
      </c>
      <c r="M30" s="175" t="str">
        <f t="shared" si="6"/>
        <v/>
      </c>
      <c r="N30" s="170" t="str">
        <f t="shared" si="7"/>
        <v/>
      </c>
      <c r="O30" s="170" t="str">
        <f t="shared" si="8"/>
        <v/>
      </c>
      <c r="P30" s="278" t="str">
        <f t="shared" si="9"/>
        <v/>
      </c>
      <c r="Q30" s="280" t="str">
        <f t="shared" si="10"/>
        <v/>
      </c>
      <c r="R30" s="280" t="str">
        <f t="shared" ref="R30:R38" si="13">IF(TECH_Yes_No="Yes",
IF($F30=0,0,
IF($F30="","",
IF($D30="Electric",
IF(AND(Electric_Utility_Type="Big 4 IOU",Gas_Utility_Type="Big 4 IOU"),0,
IF(AND(Electric_Utility_Type="POU or Co-op",Gas_Utility_Type="Big 4 IOU",$E30="Yes HP"),$F30,
IF(AND(Electric_Utility_Type="POU or Co-op",Gas_Utility_Type="Big 4 IOU",$E30="No HP"),0,
IF(AND(Electric_Utility_Type&lt;&gt;"POU or Co-op",Gas_Utility_Type="Big 4 IOU"),0,
IF(AND(Electric_Utility_Type&lt;&gt;"Big 4 IOU",Gas_Utility_Type&lt;&gt;"Big 4 IOU"),0,
IF(AND(Electric_Utility_Type="Big 4 IOU",Gas_Utility_Type&lt;&gt;"Big 4 IOU"),0,"")))))),
IF($D30="Gas",0,
IF($D30="Both",0,"TEST3"))))),"")</f>
        <v/>
      </c>
      <c r="S30" s="280" t="str">
        <f t="shared" si="11"/>
        <v/>
      </c>
      <c r="T30" s="283" t="str">
        <f t="shared" si="12"/>
        <v/>
      </c>
    </row>
    <row r="31" spans="1:20" x14ac:dyDescent="0.25">
      <c r="A31" s="591"/>
      <c r="B31" s="6">
        <v>3</v>
      </c>
      <c r="C31" s="136" t="str">
        <f>EEMs_ID_3</f>
        <v/>
      </c>
      <c r="D31" s="195" t="str">
        <f>IF(C31="","",IFERROR(IF(
AND(INDEX(Measures_All[Elec?],MATCH(C31,Measures_All[All Valid Measures],0),1)="Yes",INDEX(Measures_All[Gas?],MATCH(C31,Measures_All[All Valid Measures],0),1)="Yes"),"Both",
IF(AND(INDEX(Measures_All[Elec?],MATCH(C31,Measures_All[All Valid Measures],0),1)="Yes",INDEX(Measures_All[Gas?],MATCH(C31,Measures_All[All Valid Measures],0),1)="No"),"Electric",
IF(AND(INDEX(Measures_All[Elec?],MATCH(C31,Measures_All[All Valid Measures],0),1)="No",INDEX(Measures_All[Gas?],MATCH(C31,Measures_All[All Valid Measures],0),1)="Yes"),"Gas","---ERROR---"))),"---ERROR---"))</f>
        <v/>
      </c>
      <c r="E31" s="195" t="str">
        <f t="shared" ref="E31:E38" si="14">IF(C31="","",IF(OR(C31="WH-HP55",C31="HV-MSHP",C31="HV-MSPL",C31="HV-HPMP"),"Yes HP","No HP"))</f>
        <v/>
      </c>
      <c r="F31" s="166" t="str">
        <f>IF(OR(D31="---ERROR---",D31=""),"",EEMs_Cost_3)</f>
        <v/>
      </c>
      <c r="G31" s="168" t="str">
        <f t="shared" si="0"/>
        <v/>
      </c>
      <c r="H31" s="169" t="str">
        <f t="shared" si="1"/>
        <v/>
      </c>
      <c r="I31" s="227" t="str">
        <f t="shared" si="2"/>
        <v/>
      </c>
      <c r="J31" s="174" t="str">
        <f t="shared" si="3"/>
        <v/>
      </c>
      <c r="K31" s="228" t="str">
        <f t="shared" si="4"/>
        <v/>
      </c>
      <c r="L31" s="170" t="str">
        <f t="shared" si="5"/>
        <v/>
      </c>
      <c r="M31" s="175" t="str">
        <f t="shared" si="6"/>
        <v/>
      </c>
      <c r="N31" s="170" t="str">
        <f t="shared" si="7"/>
        <v/>
      </c>
      <c r="O31" s="170" t="str">
        <f t="shared" si="8"/>
        <v/>
      </c>
      <c r="P31" s="278" t="str">
        <f t="shared" si="9"/>
        <v/>
      </c>
      <c r="Q31" s="280" t="str">
        <f t="shared" si="10"/>
        <v/>
      </c>
      <c r="R31" s="280" t="str">
        <f t="shared" si="13"/>
        <v/>
      </c>
      <c r="S31" s="280" t="str">
        <f t="shared" si="11"/>
        <v/>
      </c>
      <c r="T31" s="283" t="str">
        <f t="shared" si="12"/>
        <v/>
      </c>
    </row>
    <row r="32" spans="1:20" x14ac:dyDescent="0.25">
      <c r="A32" s="591"/>
      <c r="B32" s="6">
        <v>4</v>
      </c>
      <c r="C32" s="136" t="str">
        <f>EEMs_ID_4</f>
        <v/>
      </c>
      <c r="D32" s="195" t="str">
        <f>IF(C32="","",IFERROR(IF(
AND(INDEX(Measures_All[Elec?],MATCH(C32,Measures_All[All Valid Measures],0),1)="Yes",INDEX(Measures_All[Gas?],MATCH(C32,Measures_All[All Valid Measures],0),1)="Yes"),"Both",
IF(AND(INDEX(Measures_All[Elec?],MATCH(C32,Measures_All[All Valid Measures],0),1)="Yes",INDEX(Measures_All[Gas?],MATCH(C32,Measures_All[All Valid Measures],0),1)="No"),"Electric",
IF(AND(INDEX(Measures_All[Elec?],MATCH(C32,Measures_All[All Valid Measures],0),1)="No",INDEX(Measures_All[Gas?],MATCH(C32,Measures_All[All Valid Measures],0),1)="Yes"),"Gas","---ERROR---"))),"---ERROR---"))</f>
        <v/>
      </c>
      <c r="E32" s="195" t="str">
        <f t="shared" si="14"/>
        <v/>
      </c>
      <c r="F32" s="251" t="str">
        <f>IF(OR(D32="---ERROR---",D32=""),"",EEMs_Cost_4)</f>
        <v/>
      </c>
      <c r="G32" s="168" t="str">
        <f t="shared" si="0"/>
        <v/>
      </c>
      <c r="H32" s="169" t="str">
        <f t="shared" si="1"/>
        <v/>
      </c>
      <c r="I32" s="227" t="str">
        <f t="shared" si="2"/>
        <v/>
      </c>
      <c r="J32" s="174" t="str">
        <f t="shared" si="3"/>
        <v/>
      </c>
      <c r="K32" s="228" t="str">
        <f t="shared" si="4"/>
        <v/>
      </c>
      <c r="L32" s="170" t="str">
        <f t="shared" si="5"/>
        <v/>
      </c>
      <c r="M32" s="175" t="str">
        <f t="shared" si="6"/>
        <v/>
      </c>
      <c r="N32" s="170" t="str">
        <f t="shared" si="7"/>
        <v/>
      </c>
      <c r="O32" s="170" t="str">
        <f t="shared" si="8"/>
        <v/>
      </c>
      <c r="P32" s="278" t="str">
        <f t="shared" si="9"/>
        <v/>
      </c>
      <c r="Q32" s="280" t="str">
        <f t="shared" si="10"/>
        <v/>
      </c>
      <c r="R32" s="280" t="str">
        <f t="shared" si="13"/>
        <v/>
      </c>
      <c r="S32" s="280" t="str">
        <f t="shared" si="11"/>
        <v/>
      </c>
      <c r="T32" s="283" t="str">
        <f t="shared" si="12"/>
        <v/>
      </c>
    </row>
    <row r="33" spans="1:20" x14ac:dyDescent="0.25">
      <c r="A33" s="591"/>
      <c r="B33" s="6">
        <v>5</v>
      </c>
      <c r="C33" s="136" t="str">
        <f>EEMs_ID_5</f>
        <v/>
      </c>
      <c r="D33" s="195" t="str">
        <f>IF(C33="","",IFERROR(IF(
AND(INDEX(Measures_All[Elec?],MATCH(C33,Measures_All[All Valid Measures],0),1)="Yes",INDEX(Measures_All[Gas?],MATCH(C33,Measures_All[All Valid Measures],0),1)="Yes"),"Both",
IF(AND(INDEX(Measures_All[Elec?],MATCH(C33,Measures_All[All Valid Measures],0),1)="Yes",INDEX(Measures_All[Gas?],MATCH(C33,Measures_All[All Valid Measures],0),1)="No"),"Electric",
IF(AND(INDEX(Measures_All[Elec?],MATCH(C33,Measures_All[All Valid Measures],0),1)="No",INDEX(Measures_All[Gas?],MATCH(C33,Measures_All[All Valid Measures],0),1)="Yes"),"Gas","---ERROR---"))),"---ERROR---"))</f>
        <v/>
      </c>
      <c r="E33" s="195" t="str">
        <f t="shared" si="14"/>
        <v/>
      </c>
      <c r="F33" s="251" t="str">
        <f>IF(OR(D33="---ERROR---",D33=""),"",EEMs_Cost_5)</f>
        <v/>
      </c>
      <c r="G33" s="168" t="str">
        <f t="shared" si="0"/>
        <v/>
      </c>
      <c r="H33" s="169" t="str">
        <f t="shared" si="1"/>
        <v/>
      </c>
      <c r="I33" s="227" t="str">
        <f t="shared" si="2"/>
        <v/>
      </c>
      <c r="J33" s="174" t="str">
        <f t="shared" si="3"/>
        <v/>
      </c>
      <c r="K33" s="228" t="str">
        <f t="shared" si="4"/>
        <v/>
      </c>
      <c r="L33" s="170" t="str">
        <f t="shared" si="5"/>
        <v/>
      </c>
      <c r="M33" s="175" t="str">
        <f t="shared" si="6"/>
        <v/>
      </c>
      <c r="N33" s="170" t="str">
        <f t="shared" si="7"/>
        <v/>
      </c>
      <c r="O33" s="170" t="str">
        <f t="shared" si="8"/>
        <v/>
      </c>
      <c r="P33" s="278" t="str">
        <f t="shared" si="9"/>
        <v/>
      </c>
      <c r="Q33" s="280" t="str">
        <f t="shared" si="10"/>
        <v/>
      </c>
      <c r="R33" s="280" t="str">
        <f t="shared" si="13"/>
        <v/>
      </c>
      <c r="S33" s="280" t="str">
        <f t="shared" si="11"/>
        <v/>
      </c>
      <c r="T33" s="283" t="str">
        <f t="shared" si="12"/>
        <v/>
      </c>
    </row>
    <row r="34" spans="1:20" x14ac:dyDescent="0.25">
      <c r="A34" s="591"/>
      <c r="B34" s="6">
        <v>6</v>
      </c>
      <c r="C34" s="136" t="str">
        <f>EEMs_ID_6</f>
        <v/>
      </c>
      <c r="D34" s="195" t="str">
        <f>IF(C34="","",IFERROR(IF(
AND(INDEX(Measures_All[Elec?],MATCH(C34,Measures_All[All Valid Measures],0),1)="Yes",INDEX(Measures_All[Gas?],MATCH(C34,Measures_All[All Valid Measures],0),1)="Yes"),"Both",
IF(AND(INDEX(Measures_All[Elec?],MATCH(C34,Measures_All[All Valid Measures],0),1)="Yes",INDEX(Measures_All[Gas?],MATCH(C34,Measures_All[All Valid Measures],0),1)="No"),"Electric",
IF(AND(INDEX(Measures_All[Elec?],MATCH(C34,Measures_All[All Valid Measures],0),1)="No",INDEX(Measures_All[Gas?],MATCH(C34,Measures_All[All Valid Measures],0),1)="Yes"),"Gas","---ERROR---"))),"---ERROR---"))</f>
        <v/>
      </c>
      <c r="E34" s="195" t="str">
        <f t="shared" si="14"/>
        <v/>
      </c>
      <c r="F34" s="251" t="str">
        <f>IF(OR(D34="---ERROR---",D34=""),"",EEMs_Cost_6)</f>
        <v/>
      </c>
      <c r="G34" s="168" t="str">
        <f t="shared" si="0"/>
        <v/>
      </c>
      <c r="H34" s="169" t="str">
        <f t="shared" si="1"/>
        <v/>
      </c>
      <c r="I34" s="227" t="str">
        <f t="shared" si="2"/>
        <v/>
      </c>
      <c r="J34" s="174" t="str">
        <f t="shared" si="3"/>
        <v/>
      </c>
      <c r="K34" s="228" t="str">
        <f t="shared" si="4"/>
        <v/>
      </c>
      <c r="L34" s="170" t="str">
        <f t="shared" si="5"/>
        <v/>
      </c>
      <c r="M34" s="175" t="str">
        <f t="shared" si="6"/>
        <v/>
      </c>
      <c r="N34" s="170" t="str">
        <f t="shared" si="7"/>
        <v/>
      </c>
      <c r="O34" s="170" t="str">
        <f t="shared" si="8"/>
        <v/>
      </c>
      <c r="P34" s="278" t="str">
        <f t="shared" si="9"/>
        <v/>
      </c>
      <c r="Q34" s="280" t="str">
        <f t="shared" si="10"/>
        <v/>
      </c>
      <c r="R34" s="280" t="str">
        <f t="shared" si="13"/>
        <v/>
      </c>
      <c r="S34" s="280" t="str">
        <f t="shared" si="11"/>
        <v/>
      </c>
      <c r="T34" s="283" t="str">
        <f t="shared" si="12"/>
        <v/>
      </c>
    </row>
    <row r="35" spans="1:20" x14ac:dyDescent="0.25">
      <c r="A35" s="591"/>
      <c r="B35" s="6">
        <v>7</v>
      </c>
      <c r="C35" s="136" t="str">
        <f>EEMs_ID_7</f>
        <v/>
      </c>
      <c r="D35" s="195" t="str">
        <f>IF(C35="","",IFERROR(IF(
AND(INDEX(Measures_All[Elec?],MATCH(C35,Measures_All[All Valid Measures],0),1)="Yes",INDEX(Measures_All[Gas?],MATCH(C35,Measures_All[All Valid Measures],0),1)="Yes"),"Both",
IF(AND(INDEX(Measures_All[Elec?],MATCH(C35,Measures_All[All Valid Measures],0),1)="Yes",INDEX(Measures_All[Gas?],MATCH(C35,Measures_All[All Valid Measures],0),1)="No"),"Electric",
IF(AND(INDEX(Measures_All[Elec?],MATCH(C35,Measures_All[All Valid Measures],0),1)="No",INDEX(Measures_All[Gas?],MATCH(C35,Measures_All[All Valid Measures],0),1)="Yes"),"Gas","---ERROR---"))),"---ERROR---"))</f>
        <v/>
      </c>
      <c r="E35" s="195" t="str">
        <f t="shared" si="14"/>
        <v/>
      </c>
      <c r="F35" s="251" t="str">
        <f>IF(OR(D35="---ERROR---",D35=""),"",EEMs_Cost_7)</f>
        <v/>
      </c>
      <c r="G35" s="168" t="str">
        <f t="shared" si="0"/>
        <v/>
      </c>
      <c r="H35" s="169" t="str">
        <f t="shared" si="1"/>
        <v/>
      </c>
      <c r="I35" s="227" t="str">
        <f t="shared" si="2"/>
        <v/>
      </c>
      <c r="J35" s="174" t="str">
        <f t="shared" si="3"/>
        <v/>
      </c>
      <c r="K35" s="228" t="str">
        <f t="shared" si="4"/>
        <v/>
      </c>
      <c r="L35" s="170" t="str">
        <f t="shared" si="5"/>
        <v/>
      </c>
      <c r="M35" s="175" t="str">
        <f t="shared" si="6"/>
        <v/>
      </c>
      <c r="N35" s="170" t="str">
        <f t="shared" si="7"/>
        <v/>
      </c>
      <c r="O35" s="170" t="str">
        <f t="shared" si="8"/>
        <v/>
      </c>
      <c r="P35" s="278" t="str">
        <f t="shared" si="9"/>
        <v/>
      </c>
      <c r="Q35" s="280" t="str">
        <f t="shared" si="10"/>
        <v/>
      </c>
      <c r="R35" s="280" t="str">
        <f t="shared" si="13"/>
        <v/>
      </c>
      <c r="S35" s="280" t="str">
        <f t="shared" si="11"/>
        <v/>
      </c>
      <c r="T35" s="283" t="str">
        <f t="shared" si="12"/>
        <v/>
      </c>
    </row>
    <row r="36" spans="1:20" x14ac:dyDescent="0.25">
      <c r="A36" s="591"/>
      <c r="B36" s="6">
        <v>8</v>
      </c>
      <c r="C36" s="136" t="str">
        <f>EEMs_ID_8</f>
        <v/>
      </c>
      <c r="D36" s="195" t="str">
        <f>IF(C36="","",IFERROR(IF(
AND(INDEX(Measures_All[Elec?],MATCH(C36,Measures_All[All Valid Measures],0),1)="Yes",INDEX(Measures_All[Gas?],MATCH(C36,Measures_All[All Valid Measures],0),1)="Yes"),"Both",
IF(AND(INDEX(Measures_All[Elec?],MATCH(C36,Measures_All[All Valid Measures],0),1)="Yes",INDEX(Measures_All[Gas?],MATCH(C36,Measures_All[All Valid Measures],0),1)="No"),"Electric",
IF(AND(INDEX(Measures_All[Elec?],MATCH(C36,Measures_All[All Valid Measures],0),1)="No",INDEX(Measures_All[Gas?],MATCH(C36,Measures_All[All Valid Measures],0),1)="Yes"),"Gas","---ERROR---"))),"---ERROR---"))</f>
        <v/>
      </c>
      <c r="E36" s="195" t="str">
        <f t="shared" si="14"/>
        <v/>
      </c>
      <c r="F36" s="251" t="str">
        <f>IF(OR(D36="---ERROR---",D36=""),"",EEMs_Cost_8)</f>
        <v/>
      </c>
      <c r="G36" s="168" t="str">
        <f t="shared" si="0"/>
        <v/>
      </c>
      <c r="H36" s="169" t="str">
        <f t="shared" si="1"/>
        <v/>
      </c>
      <c r="I36" s="227" t="str">
        <f t="shared" si="2"/>
        <v/>
      </c>
      <c r="J36" s="174" t="str">
        <f t="shared" si="3"/>
        <v/>
      </c>
      <c r="K36" s="228" t="str">
        <f t="shared" si="4"/>
        <v/>
      </c>
      <c r="L36" s="170" t="str">
        <f t="shared" si="5"/>
        <v/>
      </c>
      <c r="M36" s="175" t="str">
        <f t="shared" si="6"/>
        <v/>
      </c>
      <c r="N36" s="170" t="str">
        <f t="shared" si="7"/>
        <v/>
      </c>
      <c r="O36" s="170" t="str">
        <f t="shared" si="8"/>
        <v/>
      </c>
      <c r="P36" s="278" t="str">
        <f t="shared" si="9"/>
        <v/>
      </c>
      <c r="Q36" s="280" t="str">
        <f t="shared" si="10"/>
        <v/>
      </c>
      <c r="R36" s="280" t="str">
        <f t="shared" si="13"/>
        <v/>
      </c>
      <c r="S36" s="280" t="str">
        <f t="shared" si="11"/>
        <v/>
      </c>
      <c r="T36" s="283" t="str">
        <f t="shared" si="12"/>
        <v/>
      </c>
    </row>
    <row r="37" spans="1:20" x14ac:dyDescent="0.25">
      <c r="A37" s="238"/>
      <c r="B37" s="6">
        <v>9</v>
      </c>
      <c r="C37" s="136" t="str">
        <f>EEMs_ID_9</f>
        <v/>
      </c>
      <c r="D37" s="195" t="str">
        <f>IF(C37="","",IFERROR(IF(
AND(INDEX(Measures_All[Elec?],MATCH(C37,Measures_All[All Valid Measures],0),1)="Yes",INDEX(Measures_All[Gas?],MATCH(C37,Measures_All[All Valid Measures],0),1)="Yes"),"Both",
IF(AND(INDEX(Measures_All[Elec?],MATCH(C37,Measures_All[All Valid Measures],0),1)="Yes",INDEX(Measures_All[Gas?],MATCH(C37,Measures_All[All Valid Measures],0),1)="No"),"Electric",
IF(AND(INDEX(Measures_All[Elec?],MATCH(C37,Measures_All[All Valid Measures],0),1)="No",INDEX(Measures_All[Gas?],MATCH(C37,Measures_All[All Valid Measures],0),1)="Yes"),"Gas","---ERROR---"))),"---ERROR---"))</f>
        <v/>
      </c>
      <c r="E37" s="195" t="str">
        <f t="shared" si="14"/>
        <v/>
      </c>
      <c r="F37" s="251" t="str">
        <f>IF(OR(D37="---ERROR---",D37=""),"",EEMs_Cost_9)</f>
        <v/>
      </c>
      <c r="G37" s="168" t="str">
        <f t="shared" si="0"/>
        <v/>
      </c>
      <c r="H37" s="169" t="str">
        <f t="shared" si="1"/>
        <v/>
      </c>
      <c r="I37" s="227" t="str">
        <f t="shared" si="2"/>
        <v/>
      </c>
      <c r="J37" s="174" t="str">
        <f t="shared" si="3"/>
        <v/>
      </c>
      <c r="K37" s="228" t="str">
        <f t="shared" si="4"/>
        <v/>
      </c>
      <c r="L37" s="170" t="str">
        <f t="shared" si="5"/>
        <v/>
      </c>
      <c r="M37" s="175" t="str">
        <f t="shared" si="6"/>
        <v/>
      </c>
      <c r="N37" s="170" t="str">
        <f t="shared" si="7"/>
        <v/>
      </c>
      <c r="O37" s="170" t="str">
        <f t="shared" si="8"/>
        <v/>
      </c>
      <c r="P37" s="278" t="str">
        <f t="shared" si="9"/>
        <v/>
      </c>
      <c r="Q37" s="280" t="str">
        <f t="shared" si="10"/>
        <v/>
      </c>
      <c r="R37" s="280" t="str">
        <f t="shared" si="13"/>
        <v/>
      </c>
      <c r="S37" s="280" t="str">
        <f t="shared" si="11"/>
        <v/>
      </c>
      <c r="T37" s="283" t="str">
        <f t="shared" si="12"/>
        <v/>
      </c>
    </row>
    <row r="38" spans="1:20" x14ac:dyDescent="0.25">
      <c r="A38" s="238"/>
      <c r="B38" s="6">
        <v>10</v>
      </c>
      <c r="C38" s="136" t="str">
        <f>EEMs_ID_10</f>
        <v/>
      </c>
      <c r="D38" s="195" t="str">
        <f>IF(C38="","",IFERROR(IF(
AND(INDEX(Measures_All[Elec?],MATCH(C38,Measures_All[All Valid Measures],0),1)="Yes",INDEX(Measures_All[Gas?],MATCH(C38,Measures_All[All Valid Measures],0),1)="Yes"),"Both",
IF(AND(INDEX(Measures_All[Elec?],MATCH(C38,Measures_All[All Valid Measures],0),1)="Yes",INDEX(Measures_All[Gas?],MATCH(C38,Measures_All[All Valid Measures],0),1)="No"),"Electric",
IF(AND(INDEX(Measures_All[Elec?],MATCH(C38,Measures_All[All Valid Measures],0),1)="No",INDEX(Measures_All[Gas?],MATCH(C38,Measures_All[All Valid Measures],0),1)="Yes"),"Gas","---ERROR---"))),"---ERROR---"))</f>
        <v/>
      </c>
      <c r="E38" s="195" t="str">
        <f t="shared" si="14"/>
        <v/>
      </c>
      <c r="F38" s="251" t="str">
        <f>IF(OR(D38="---ERROR---",D38=""),"",EEMs_Cost_10)</f>
        <v/>
      </c>
      <c r="G38" s="168" t="str">
        <f t="shared" si="0"/>
        <v/>
      </c>
      <c r="H38" s="169" t="str">
        <f t="shared" si="1"/>
        <v/>
      </c>
      <c r="I38" s="227" t="str">
        <f t="shared" si="2"/>
        <v/>
      </c>
      <c r="J38" s="174" t="str">
        <f t="shared" si="3"/>
        <v/>
      </c>
      <c r="K38" s="228" t="str">
        <f t="shared" si="4"/>
        <v/>
      </c>
      <c r="L38" s="170" t="str">
        <f t="shared" si="5"/>
        <v/>
      </c>
      <c r="M38" s="175" t="str">
        <f t="shared" si="6"/>
        <v/>
      </c>
      <c r="N38" s="170" t="str">
        <f t="shared" si="7"/>
        <v/>
      </c>
      <c r="O38" s="170" t="str">
        <f t="shared" si="8"/>
        <v/>
      </c>
      <c r="P38" s="278" t="str">
        <f t="shared" si="9"/>
        <v/>
      </c>
      <c r="Q38" s="280" t="str">
        <f t="shared" si="10"/>
        <v/>
      </c>
      <c r="R38" s="280" t="str">
        <f t="shared" si="13"/>
        <v/>
      </c>
      <c r="S38" s="280" t="str">
        <f t="shared" si="11"/>
        <v/>
      </c>
      <c r="T38" s="283" t="str">
        <f t="shared" si="12"/>
        <v/>
      </c>
    </row>
    <row r="39" spans="1:20" ht="5.0999999999999996" customHeight="1" thickBot="1" x14ac:dyDescent="0.3">
      <c r="B39" s="6"/>
      <c r="C39" s="6"/>
      <c r="F39" s="236"/>
      <c r="G39" s="236"/>
      <c r="H39" s="237"/>
      <c r="I39" s="236"/>
      <c r="J39" s="6"/>
      <c r="K39" s="253"/>
      <c r="L39" s="31"/>
      <c r="M39" s="256"/>
      <c r="P39" s="296"/>
      <c r="Q39" s="363"/>
      <c r="R39" s="297"/>
      <c r="S39" s="363"/>
      <c r="T39" s="298"/>
    </row>
    <row r="40" spans="1:20" ht="15.75" thickBot="1" x14ac:dyDescent="0.3">
      <c r="B40" s="6"/>
      <c r="C40" s="118" t="s">
        <v>856</v>
      </c>
      <c r="F40" s="252">
        <f>IF(SUM(F29:F36)=0,SUM(F29:F36),SUM(F29:F36)/SUM($F29:$F36))</f>
        <v>0</v>
      </c>
      <c r="G40" s="176">
        <f>IFERROR(IF(ROUND(SUM(Cost_Ratio_Gas,SUM(G29:G38)/SUM($F29:$F38)),2)=1,1-Cost_Ratio_Gas,0),0)</f>
        <v>0</v>
      </c>
      <c r="H40" s="177">
        <f t="shared" ref="H40:O40" si="15">IF(SUM($F29:$F38)=0,0,SUM(H29:H38)/SUM($F29:$F38))</f>
        <v>0</v>
      </c>
      <c r="I40" s="178">
        <f t="shared" si="15"/>
        <v>0</v>
      </c>
      <c r="J40" s="179">
        <f t="shared" si="15"/>
        <v>0</v>
      </c>
      <c r="K40" s="254">
        <f t="shared" si="15"/>
        <v>0</v>
      </c>
      <c r="L40" s="257">
        <f t="shared" si="15"/>
        <v>0</v>
      </c>
      <c r="M40" s="258">
        <f t="shared" si="15"/>
        <v>0</v>
      </c>
      <c r="N40" s="180">
        <f t="shared" si="15"/>
        <v>0</v>
      </c>
      <c r="O40" s="180">
        <f t="shared" si="15"/>
        <v>0</v>
      </c>
      <c r="P40" s="385">
        <f>IF(SUM($F29:$F38)=0,0,SUM(P29:P38)/SUM($F29:$F38))</f>
        <v>0</v>
      </c>
      <c r="Q40" s="386">
        <f>IFERROR(IF(ROUND(SUM(Cost_Ratio_PPP,SUM($Q$29:$Q$38)/SUM($F29:$F38),SUM(R29:$R$38)/SUM($F$29:$F$38)),2)=1,SUM($Q$29:$Q$38)/SUM($F$29:$F$38),0),0)</f>
        <v>0</v>
      </c>
      <c r="R40" s="386">
        <f>IFERROR(IF(ROUND(SUM(Cost_Ratio_PPP,SUM($Q$29:$Q$38)/SUM($F29:$F38),SUM($R29:$R38)/SUM($F$29:$F$38)),2)=1,SUM($R$29:$R$38)/SUM($F$29:$F$38),0),0)</f>
        <v>0</v>
      </c>
      <c r="S40" s="386">
        <f>IFERROR(IF(ROUND(SUM(Cost_Ratio_PPP,SUM($S29:$S38)/SUM($F$29:$F$38)),2)=1,SUM($S$29:$S$38)/SUM($F$29:$F$38),0),0)</f>
        <v>0</v>
      </c>
      <c r="T40" s="387">
        <f>IF(SUM($F29:$F38)=0,0,SUM($T$29:$T$38)/SUM($F29:$F38))</f>
        <v>0</v>
      </c>
    </row>
    <row r="41" spans="1:20" ht="5.25" customHeight="1" x14ac:dyDescent="0.25">
      <c r="B41" s="6"/>
      <c r="C41" s="6"/>
      <c r="G41" s="236"/>
      <c r="H41" s="237"/>
      <c r="I41" s="236"/>
      <c r="J41" s="6"/>
      <c r="K41" s="253"/>
      <c r="L41" s="31"/>
      <c r="M41" s="256"/>
      <c r="P41" s="236"/>
      <c r="T41" s="237"/>
    </row>
    <row r="42" spans="1:20" s="74" customFormat="1" ht="120.75" customHeight="1" thickBot="1" x14ac:dyDescent="0.3">
      <c r="G42" s="592" t="s">
        <v>857</v>
      </c>
      <c r="H42" s="595"/>
      <c r="I42" s="592" t="s">
        <v>858</v>
      </c>
      <c r="J42" s="593"/>
      <c r="K42" s="594"/>
      <c r="L42" s="596" t="s">
        <v>697</v>
      </c>
      <c r="M42" s="597"/>
      <c r="N42" s="593" t="s">
        <v>698</v>
      </c>
      <c r="O42" s="593"/>
      <c r="P42" s="592" t="s">
        <v>888</v>
      </c>
      <c r="Q42" s="593"/>
      <c r="R42" s="593"/>
      <c r="S42" s="593"/>
      <c r="T42" s="595"/>
    </row>
    <row r="45" spans="1:20" ht="38.25" customHeight="1" x14ac:dyDescent="0.25">
      <c r="P45" s="7"/>
    </row>
  </sheetData>
  <sheetProtection algorithmName="SHA-512" hashValue="TqdlwF0aW3iwtsGk4p3E9Z0zh1zDD2w61AqdHuN5zJC2+QvtXflt1l6aiGgkVbyRA1W4iCLUpEDkhxmqPlxS1A==" saltValue="wQAsvkgdn5H9t87h7B4AnQ==" spinCount="100000" sheet="1" objects="1" scenarios="1"/>
  <mergeCells count="28">
    <mergeCell ref="B2:B3"/>
    <mergeCell ref="B13:B17"/>
    <mergeCell ref="D3:I3"/>
    <mergeCell ref="D10:I10"/>
    <mergeCell ref="D11:I11"/>
    <mergeCell ref="B5:B11"/>
    <mergeCell ref="C6:C7"/>
    <mergeCell ref="D17:I17"/>
    <mergeCell ref="C9:C11"/>
    <mergeCell ref="D9:I9"/>
    <mergeCell ref="D7:I7"/>
    <mergeCell ref="D6:I6"/>
    <mergeCell ref="D16:I16"/>
    <mergeCell ref="D15:I15"/>
    <mergeCell ref="D5:J5"/>
    <mergeCell ref="D2:J2"/>
    <mergeCell ref="G25:H25"/>
    <mergeCell ref="D14:I14"/>
    <mergeCell ref="D13:J13"/>
    <mergeCell ref="G24:H24"/>
    <mergeCell ref="P42:T42"/>
    <mergeCell ref="D24:E24"/>
    <mergeCell ref="D25:E25"/>
    <mergeCell ref="A29:A36"/>
    <mergeCell ref="I42:K42"/>
    <mergeCell ref="G42:H42"/>
    <mergeCell ref="L42:M42"/>
    <mergeCell ref="N42:O42"/>
  </mergeCells>
  <conditionalFormatting sqref="C29:E38">
    <cfRule type="expression" dxfId="7" priority="5">
      <formula>ISNUMBER(SEARCH("error",$D29))</formula>
    </cfRule>
  </conditionalFormatting>
  <conditionalFormatting sqref="D24:D25 F24:H25">
    <cfRule type="expression" dxfId="6" priority="1">
      <formula>D24=""</formula>
    </cfRule>
  </conditionalFormatting>
  <conditionalFormatting sqref="D7:G7 J7">
    <cfRule type="expression" dxfId="5" priority="8">
      <formula>$J$7&gt;$J$3</formula>
    </cfRule>
  </conditionalFormatting>
  <conditionalFormatting sqref="D10:G10 J10">
    <cfRule type="expression" dxfId="4" priority="9">
      <formula>$J$10&lt;70%</formula>
    </cfRule>
  </conditionalFormatting>
  <conditionalFormatting sqref="G40:H40">
    <cfRule type="expression" dxfId="3" priority="4">
      <formula>ROUND(SUM($G$40,$H$40),2)&lt;&gt;1</formula>
    </cfRule>
  </conditionalFormatting>
  <conditionalFormatting sqref="I40:K40">
    <cfRule type="expression" dxfId="2" priority="3">
      <formula>ROUND($I$40+$J$40+$K$40,2)&lt;&gt;1</formula>
    </cfRule>
  </conditionalFormatting>
  <conditionalFormatting sqref="J10">
    <cfRule type="expression" dxfId="1" priority="6">
      <formula>ISERROR($J$10)</formula>
    </cfRule>
  </conditionalFormatting>
  <conditionalFormatting sqref="P40:T40">
    <cfRule type="expression" dxfId="0" priority="2">
      <formula>AND(ROUND($P$40+$Q$40+$R$40,2)&lt;&gt;1,ROUND($P$40+$S$40,2)&lt;&gt;1,$T$40&lt;&gt;1)</formula>
    </cfRule>
  </conditionalFormatting>
  <dataValidations count="1">
    <dataValidation type="list" allowBlank="1" showInputMessage="1" sqref="D29:D38" xr:uid="{9B1BDB00-7FF3-4915-8381-F6594B2413CD}">
      <formula1>Measure_Fuel_VL</formula1>
    </dataValidation>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F9D28AC-2793-41F8-9BFD-431349D47BD0}">
          <x14:formula1>
            <xm:f>'Value Lists and Assumptions'!$E$42:$E$43+'Value Lists and Assumptions'!$E$42:$E$43</xm:f>
          </x14:formula1>
          <xm:sqref>E29:E38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AS121"/>
  <sheetViews>
    <sheetView topLeftCell="V1" zoomScale="90" zoomScaleNormal="90" workbookViewId="0">
      <selection activeCell="AH31" sqref="AH31"/>
    </sheetView>
  </sheetViews>
  <sheetFormatPr defaultColWidth="9.140625" defaultRowHeight="15" x14ac:dyDescent="0.25"/>
  <cols>
    <col min="1" max="1" width="2.5703125" style="6" customWidth="1"/>
    <col min="2" max="2" width="34.85546875" style="6" customWidth="1"/>
    <col min="3" max="3" width="11.7109375" style="71" customWidth="1"/>
    <col min="4" max="4" width="2.5703125" style="6" customWidth="1"/>
    <col min="5" max="5" width="22.140625" style="6" customWidth="1"/>
    <col min="6" max="6" width="2.5703125" style="6" customWidth="1"/>
    <col min="7" max="7" width="18.140625" style="6" customWidth="1"/>
    <col min="8" max="8" width="2.5703125" style="6" customWidth="1"/>
    <col min="9" max="9" width="32.42578125" style="6" customWidth="1"/>
    <col min="10" max="10" width="2.5703125" style="6" customWidth="1"/>
    <col min="11" max="11" width="28.5703125" style="6" customWidth="1"/>
    <col min="12" max="12" width="2.5703125" style="6" customWidth="1"/>
    <col min="13" max="13" width="53.140625" style="6" customWidth="1"/>
    <col min="14" max="14" width="2.5703125" style="6" customWidth="1"/>
    <col min="15" max="15" width="19.5703125" style="157" customWidth="1"/>
    <col min="16" max="17" width="19.140625" style="157" customWidth="1"/>
    <col min="18" max="19" width="9.85546875" style="157" customWidth="1"/>
    <col min="20" max="21" width="9.140625" customWidth="1"/>
    <col min="22" max="22" width="2.5703125" style="6" customWidth="1"/>
    <col min="23" max="25" width="14" style="6" customWidth="1"/>
    <col min="26" max="26" width="2.5703125" style="6" customWidth="1"/>
    <col min="27" max="28" width="8.42578125" style="6" customWidth="1"/>
    <col min="29" max="29" width="15.5703125" style="6" customWidth="1"/>
    <col min="30" max="30" width="14.140625" style="6" customWidth="1"/>
    <col min="31" max="31" width="31.42578125" style="6" customWidth="1"/>
    <col min="32" max="32" width="13.140625" style="6" customWidth="1"/>
    <col min="33" max="33" width="2.5703125" style="6" customWidth="1"/>
    <col min="34" max="34" width="43.42578125" style="6" customWidth="1"/>
    <col min="35" max="35" width="24.42578125" style="6" customWidth="1"/>
    <col min="36" max="36" width="18.140625" style="6" customWidth="1"/>
    <col min="37" max="37" width="11.42578125" style="6" customWidth="1"/>
    <col min="38" max="39" width="9.140625" style="6"/>
    <col min="40" max="44" width="8.5703125"/>
    <col min="45" max="45" width="14.140625" style="6" customWidth="1"/>
    <col min="46" max="16384" width="9.140625" style="6"/>
  </cols>
  <sheetData>
    <row r="1" spans="2:38" ht="30" customHeight="1" x14ac:dyDescent="0.25">
      <c r="O1" s="156" t="s">
        <v>251</v>
      </c>
      <c r="P1" s="156" t="s">
        <v>252</v>
      </c>
      <c r="Q1" s="156" t="s">
        <v>705</v>
      </c>
      <c r="R1" s="167" t="s">
        <v>530</v>
      </c>
      <c r="S1" s="167" t="s">
        <v>271</v>
      </c>
      <c r="T1" t="s">
        <v>253</v>
      </c>
      <c r="U1" t="s">
        <v>254</v>
      </c>
      <c r="W1" s="6" t="s">
        <v>20</v>
      </c>
      <c r="AA1" s="620" t="s">
        <v>860</v>
      </c>
      <c r="AB1" s="620"/>
      <c r="AC1" s="405" t="s">
        <v>256</v>
      </c>
      <c r="AD1" s="405"/>
      <c r="AE1" s="405" t="s">
        <v>257</v>
      </c>
      <c r="AF1" s="405"/>
      <c r="AH1"/>
      <c r="AI1"/>
      <c r="AJ1"/>
      <c r="AK1"/>
    </row>
    <row r="2" spans="2:38" x14ac:dyDescent="0.25">
      <c r="O2" s="157" t="s">
        <v>258</v>
      </c>
      <c r="R2" s="157" t="str">
        <f>LEFT(Measures_All[[#This Row],[All Valid Measures]],2)</f>
        <v>AP</v>
      </c>
      <c r="S2" s="157" t="str">
        <f>RIGHT(Measures_All[[#This Row],[All Valid Measures]],4)</f>
        <v>ACLN</v>
      </c>
      <c r="T2" t="s">
        <v>25</v>
      </c>
      <c r="U2" t="s">
        <v>259</v>
      </c>
      <c r="W2" s="6" t="s">
        <v>531</v>
      </c>
      <c r="AA2" s="591" t="s">
        <v>266</v>
      </c>
      <c r="AB2" s="234" t="s">
        <v>262</v>
      </c>
      <c r="AC2" s="6" t="s">
        <v>260</v>
      </c>
      <c r="AD2" s="6" t="s">
        <v>261</v>
      </c>
      <c r="AE2" s="6" t="s">
        <v>263</v>
      </c>
      <c r="AF2" s="6" t="s">
        <v>676</v>
      </c>
      <c r="AH2"/>
      <c r="AI2"/>
      <c r="AJ2"/>
      <c r="AK2"/>
    </row>
    <row r="3" spans="2:38" ht="15.75" customHeight="1" thickBot="1" x14ac:dyDescent="0.3">
      <c r="O3" s="158" t="s">
        <v>264</v>
      </c>
      <c r="P3" s="158" t="s">
        <v>265</v>
      </c>
      <c r="Q3" s="158"/>
      <c r="R3" s="158" t="str">
        <f>LEFT(Measures_All[[#This Row],[All Valid Measures]],2)</f>
        <v>AP</v>
      </c>
      <c r="S3" s="158" t="str">
        <f>RIGHT(Measures_All[[#This Row],[All Valid Measures]],4)</f>
        <v>CNVE</v>
      </c>
      <c r="T3" t="s">
        <v>25</v>
      </c>
      <c r="U3" t="s">
        <v>259</v>
      </c>
      <c r="W3" s="6" t="s">
        <v>532</v>
      </c>
      <c r="AA3" s="591"/>
      <c r="AB3" s="235" t="s">
        <v>680</v>
      </c>
      <c r="AC3" s="236" t="s">
        <v>528</v>
      </c>
      <c r="AD3" s="237" t="s">
        <v>528</v>
      </c>
      <c r="AE3" s="6" t="s">
        <v>528</v>
      </c>
      <c r="AF3" s="6" t="s">
        <v>677</v>
      </c>
    </row>
    <row r="4" spans="2:38" ht="15.75" thickBot="1" x14ac:dyDescent="0.3">
      <c r="B4" s="184" t="s">
        <v>594</v>
      </c>
      <c r="C4" s="185">
        <v>44641</v>
      </c>
      <c r="O4" s="159" t="s">
        <v>268</v>
      </c>
      <c r="P4" s="158" t="s">
        <v>265</v>
      </c>
      <c r="Q4" s="158" t="s">
        <v>706</v>
      </c>
      <c r="R4" s="158" t="str">
        <f>LEFT(Measures_All[[#This Row],[All Valid Measures]],2)</f>
        <v>AP</v>
      </c>
      <c r="S4" s="158" t="str">
        <f>RIGHT(Measures_All[[#This Row],[All Valid Measures]],4)</f>
        <v>CVGR</v>
      </c>
      <c r="T4" t="s">
        <v>259</v>
      </c>
      <c r="U4" t="s">
        <v>25</v>
      </c>
      <c r="W4" s="6" t="s">
        <v>533</v>
      </c>
      <c r="AA4" s="591"/>
      <c r="AB4" s="235" t="s">
        <v>680</v>
      </c>
      <c r="AC4" s="236" t="s">
        <v>528</v>
      </c>
      <c r="AD4" s="237" t="s">
        <v>269</v>
      </c>
      <c r="AE4" s="6" t="s">
        <v>681</v>
      </c>
      <c r="AF4" s="6" t="s">
        <v>677</v>
      </c>
    </row>
    <row r="5" spans="2:38" ht="15.75" thickBot="1" x14ac:dyDescent="0.3">
      <c r="B5" s="184" t="s">
        <v>746</v>
      </c>
      <c r="C5" s="185">
        <v>45200</v>
      </c>
      <c r="E5" s="6" t="s">
        <v>272</v>
      </c>
      <c r="G5" s="37" t="s">
        <v>861</v>
      </c>
      <c r="I5" s="37" t="s">
        <v>50</v>
      </c>
      <c r="K5" s="37" t="s">
        <v>75</v>
      </c>
      <c r="M5" s="39" t="s">
        <v>273</v>
      </c>
      <c r="O5" s="157" t="s">
        <v>274</v>
      </c>
      <c r="R5" s="157" t="str">
        <f>LEFT(Measures_All[[#This Row],[All Valid Measures]],2)</f>
        <v>AP</v>
      </c>
      <c r="S5" s="157" t="str">
        <f>RIGHT(Measures_All[[#This Row],[All Valid Measures]],4)</f>
        <v>DRYE</v>
      </c>
      <c r="T5" t="s">
        <v>25</v>
      </c>
      <c r="U5" t="s">
        <v>259</v>
      </c>
      <c r="W5" s="6" t="s">
        <v>534</v>
      </c>
      <c r="AA5" s="591"/>
      <c r="AB5" s="235" t="s">
        <v>680</v>
      </c>
      <c r="AC5" s="236" t="s">
        <v>528</v>
      </c>
      <c r="AD5" s="237" t="s">
        <v>210</v>
      </c>
      <c r="AE5" s="6" t="s">
        <v>682</v>
      </c>
      <c r="AF5" s="6" t="s">
        <v>677</v>
      </c>
      <c r="AH5" s="34" t="s">
        <v>276</v>
      </c>
      <c r="AI5" s="136"/>
      <c r="AJ5" s="136"/>
      <c r="AK5" s="136"/>
    </row>
    <row r="6" spans="2:38" x14ac:dyDescent="0.25">
      <c r="E6" s="6" t="s">
        <v>277</v>
      </c>
      <c r="G6" s="6" t="s">
        <v>20</v>
      </c>
      <c r="I6" s="6" t="s">
        <v>133</v>
      </c>
      <c r="K6" s="6" t="s">
        <v>278</v>
      </c>
      <c r="M6" s="142">
        <v>0.7</v>
      </c>
      <c r="O6" s="157" t="s">
        <v>279</v>
      </c>
      <c r="R6" s="157" t="str">
        <f>LEFT(Measures_All[[#This Row],[All Valid Measures]],2)</f>
        <v>AP</v>
      </c>
      <c r="S6" s="157" t="str">
        <f>RIGHT(Measures_All[[#This Row],[All Valid Measures]],4)</f>
        <v>DRYG</v>
      </c>
      <c r="T6" t="s">
        <v>259</v>
      </c>
      <c r="U6" t="s">
        <v>25</v>
      </c>
      <c r="W6" s="6" t="s">
        <v>865</v>
      </c>
      <c r="AA6" s="591"/>
      <c r="AB6" s="235" t="s">
        <v>680</v>
      </c>
      <c r="AC6" s="236" t="s">
        <v>528</v>
      </c>
      <c r="AD6" s="237" t="s">
        <v>639</v>
      </c>
      <c r="AE6" s="6" t="s">
        <v>528</v>
      </c>
      <c r="AF6" s="6" t="s">
        <v>677</v>
      </c>
      <c r="AH6" s="137" t="s">
        <v>280</v>
      </c>
      <c r="AI6" s="135" t="s">
        <v>281</v>
      </c>
      <c r="AJ6" s="135"/>
      <c r="AK6" s="135"/>
    </row>
    <row r="7" spans="2:38" x14ac:dyDescent="0.25">
      <c r="E7" s="6" t="s">
        <v>283</v>
      </c>
      <c r="G7" s="6" t="s">
        <v>14</v>
      </c>
      <c r="I7" s="6" t="s">
        <v>284</v>
      </c>
      <c r="K7" s="6" t="s">
        <v>285</v>
      </c>
      <c r="O7" s="157" t="s">
        <v>864</v>
      </c>
      <c r="P7" s="158" t="s">
        <v>807</v>
      </c>
      <c r="Q7" s="158"/>
      <c r="R7" s="158" t="str">
        <f>LEFT(Measures_All[[#This Row],[All Valid Measures]],2)</f>
        <v>AP</v>
      </c>
      <c r="S7" s="158" t="str">
        <f>RIGHT(Measures_All[[#This Row],[All Valid Measures]],4)</f>
        <v>DRYH</v>
      </c>
      <c r="T7" t="s">
        <v>25</v>
      </c>
      <c r="U7" t="s">
        <v>259</v>
      </c>
      <c r="W7" s="6" t="s">
        <v>535</v>
      </c>
      <c r="AA7" s="591"/>
      <c r="AB7" s="235" t="s">
        <v>680</v>
      </c>
      <c r="AC7" s="236" t="s">
        <v>269</v>
      </c>
      <c r="AD7" s="237" t="s">
        <v>528</v>
      </c>
      <c r="AE7" s="6" t="s">
        <v>678</v>
      </c>
      <c r="AF7" s="6" t="s">
        <v>677</v>
      </c>
      <c r="AH7" s="137" t="s">
        <v>287</v>
      </c>
      <c r="AI7" s="135" t="s">
        <v>288</v>
      </c>
      <c r="AJ7" s="135"/>
      <c r="AK7" s="135"/>
    </row>
    <row r="8" spans="2:38" x14ac:dyDescent="0.25">
      <c r="B8" s="62" t="s">
        <v>270</v>
      </c>
      <c r="C8" s="70" t="s">
        <v>271</v>
      </c>
      <c r="G8" s="6" t="s">
        <v>792</v>
      </c>
      <c r="I8" s="6" t="s">
        <v>291</v>
      </c>
      <c r="K8" s="6" t="s">
        <v>700</v>
      </c>
      <c r="M8" s="40" t="s">
        <v>292</v>
      </c>
      <c r="O8" s="158" t="s">
        <v>286</v>
      </c>
      <c r="P8" s="158" t="s">
        <v>265</v>
      </c>
      <c r="Q8" s="158"/>
      <c r="R8" s="158" t="str">
        <f>LEFT(Measures_All[[#This Row],[All Valid Measures]],2)</f>
        <v>AP</v>
      </c>
      <c r="S8" s="158" t="str">
        <f>RIGHT(Measures_All[[#This Row],[All Valid Measures]],4)</f>
        <v>DISH</v>
      </c>
      <c r="T8" t="s">
        <v>259</v>
      </c>
      <c r="U8" t="s">
        <v>259</v>
      </c>
      <c r="W8" s="6" t="s">
        <v>536</v>
      </c>
      <c r="AA8" s="591"/>
      <c r="AB8" s="6" t="s">
        <v>680</v>
      </c>
      <c r="AC8" s="236" t="s">
        <v>269</v>
      </c>
      <c r="AD8" s="237" t="s">
        <v>269</v>
      </c>
      <c r="AE8" s="6" t="s">
        <v>758</v>
      </c>
      <c r="AF8" s="6" t="s">
        <v>757</v>
      </c>
    </row>
    <row r="9" spans="2:38" x14ac:dyDescent="0.25">
      <c r="B9" s="31" t="s">
        <v>654</v>
      </c>
      <c r="C9" s="72">
        <v>1220</v>
      </c>
      <c r="E9" s="37" t="s">
        <v>296</v>
      </c>
      <c r="G9" s="6" t="s">
        <v>290</v>
      </c>
      <c r="I9" s="6" t="s">
        <v>297</v>
      </c>
      <c r="K9" s="6" t="s">
        <v>701</v>
      </c>
      <c r="M9" s="41" t="s">
        <v>298</v>
      </c>
      <c r="O9" s="159" t="s">
        <v>293</v>
      </c>
      <c r="P9" s="158" t="s">
        <v>294</v>
      </c>
      <c r="Q9" s="158"/>
      <c r="R9" s="158" t="str">
        <f>LEFT(Measures_All[[#This Row],[All Valid Measures]],2)</f>
        <v>AP</v>
      </c>
      <c r="S9" s="158" t="str">
        <f>RIGHT(Measures_All[[#This Row],[All Valid Measures]],4)</f>
        <v>DSHE</v>
      </c>
      <c r="T9" t="s">
        <v>25</v>
      </c>
      <c r="U9" t="s">
        <v>259</v>
      </c>
      <c r="W9" s="6" t="s">
        <v>537</v>
      </c>
      <c r="AA9" s="591"/>
      <c r="AB9" s="6" t="s">
        <v>679</v>
      </c>
      <c r="AC9" s="236" t="s">
        <v>269</v>
      </c>
      <c r="AD9" s="237" t="s">
        <v>210</v>
      </c>
      <c r="AE9" s="6" t="s">
        <v>679</v>
      </c>
      <c r="AF9" s="6" t="s">
        <v>679</v>
      </c>
      <c r="AH9" s="34" t="s">
        <v>300</v>
      </c>
      <c r="AI9" s="136"/>
      <c r="AJ9" s="136"/>
      <c r="AK9" s="136"/>
    </row>
    <row r="10" spans="2:38" x14ac:dyDescent="0.25">
      <c r="B10" s="31" t="s">
        <v>282</v>
      </c>
      <c r="C10" s="72">
        <v>1221</v>
      </c>
      <c r="E10" s="6" t="s">
        <v>259</v>
      </c>
      <c r="G10" s="6" t="s">
        <v>22</v>
      </c>
      <c r="K10" s="6" t="s">
        <v>702</v>
      </c>
      <c r="M10" s="36" t="s">
        <v>301</v>
      </c>
      <c r="O10" s="159" t="s">
        <v>299</v>
      </c>
      <c r="P10" s="158" t="s">
        <v>294</v>
      </c>
      <c r="Q10" s="158"/>
      <c r="R10" s="158" t="str">
        <f>LEFT(Measures_All[[#This Row],[All Valid Measures]],2)</f>
        <v>AP</v>
      </c>
      <c r="S10" s="158" t="str">
        <f>RIGHT(Measures_All[[#This Row],[All Valid Measures]],4)</f>
        <v>DSHG</v>
      </c>
      <c r="T10" t="s">
        <v>259</v>
      </c>
      <c r="U10" t="s">
        <v>25</v>
      </c>
      <c r="W10" s="6" t="s">
        <v>538</v>
      </c>
      <c r="AA10" s="591"/>
      <c r="AB10" s="6" t="s">
        <v>679</v>
      </c>
      <c r="AC10" s="236" t="s">
        <v>269</v>
      </c>
      <c r="AD10" s="237" t="s">
        <v>639</v>
      </c>
      <c r="AE10" s="6" t="s">
        <v>679</v>
      </c>
      <c r="AF10" s="6" t="s">
        <v>679</v>
      </c>
      <c r="AH10" s="143" t="s">
        <v>303</v>
      </c>
      <c r="AI10" s="144" t="s">
        <v>304</v>
      </c>
      <c r="AJ10" s="144" t="s">
        <v>305</v>
      </c>
      <c r="AK10" s="144" t="s">
        <v>306</v>
      </c>
      <c r="AL10" s="144" t="s">
        <v>307</v>
      </c>
    </row>
    <row r="11" spans="2:38" x14ac:dyDescent="0.25">
      <c r="B11" s="31" t="s">
        <v>289</v>
      </c>
      <c r="C11" s="72">
        <v>1223</v>
      </c>
      <c r="E11" s="6" t="s">
        <v>25</v>
      </c>
      <c r="G11" s="6" t="s">
        <v>18</v>
      </c>
      <c r="I11" s="38" t="s">
        <v>309</v>
      </c>
      <c r="O11" s="157" t="s">
        <v>302</v>
      </c>
      <c r="R11" s="157" t="str">
        <f>LEFT(Measures_All[[#This Row],[All Valid Measures]],2)</f>
        <v>AP</v>
      </c>
      <c r="S11" s="157" t="str">
        <f>RIGHT(Measures_All[[#This Row],[All Valid Measures]],4)</f>
        <v>FREZ</v>
      </c>
      <c r="T11" t="s">
        <v>25</v>
      </c>
      <c r="U11" t="s">
        <v>259</v>
      </c>
      <c r="W11" s="6" t="s">
        <v>539</v>
      </c>
      <c r="AA11" s="591"/>
      <c r="AB11" s="235" t="s">
        <v>680</v>
      </c>
      <c r="AC11" s="236" t="s">
        <v>210</v>
      </c>
      <c r="AD11" s="237" t="s">
        <v>528</v>
      </c>
      <c r="AE11" s="6" t="s">
        <v>683</v>
      </c>
      <c r="AF11" s="6" t="s">
        <v>677</v>
      </c>
      <c r="AH11" s="145" t="s">
        <v>646</v>
      </c>
      <c r="AI11" s="145" t="s">
        <v>311</v>
      </c>
      <c r="AJ11" s="145" t="s">
        <v>312</v>
      </c>
      <c r="AK11" s="150" t="s">
        <v>313</v>
      </c>
      <c r="AL11" s="155" t="s">
        <v>314</v>
      </c>
    </row>
    <row r="12" spans="2:38" x14ac:dyDescent="0.25">
      <c r="B12" s="31" t="s">
        <v>295</v>
      </c>
      <c r="C12" s="72">
        <v>1224</v>
      </c>
      <c r="G12" s="6" t="s">
        <v>308</v>
      </c>
      <c r="I12" s="6" t="s">
        <v>315</v>
      </c>
      <c r="K12" s="37" t="s">
        <v>316</v>
      </c>
      <c r="M12" s="116" t="s">
        <v>317</v>
      </c>
      <c r="O12" s="157" t="s">
        <v>310</v>
      </c>
      <c r="R12" s="157" t="str">
        <f>LEFT(Measures_All[[#This Row],[All Valid Measures]],2)</f>
        <v>AP</v>
      </c>
      <c r="S12" s="157" t="str">
        <f>RIGHT(Measures_All[[#This Row],[All Valid Measures]],4)</f>
        <v>FRIG</v>
      </c>
      <c r="T12" t="s">
        <v>25</v>
      </c>
      <c r="U12" t="s">
        <v>259</v>
      </c>
      <c r="W12" s="6" t="s">
        <v>540</v>
      </c>
      <c r="AA12" s="591"/>
      <c r="AB12" s="6" t="s">
        <v>679</v>
      </c>
      <c r="AC12" s="236" t="s">
        <v>210</v>
      </c>
      <c r="AD12" s="237" t="s">
        <v>269</v>
      </c>
      <c r="AE12" s="6" t="s">
        <v>679</v>
      </c>
      <c r="AF12" s="6" t="s">
        <v>679</v>
      </c>
      <c r="AH12" s="145" t="s">
        <v>647</v>
      </c>
      <c r="AI12" s="145" t="s">
        <v>319</v>
      </c>
      <c r="AJ12" s="145" t="s">
        <v>320</v>
      </c>
      <c r="AK12" s="150" t="s">
        <v>321</v>
      </c>
      <c r="AL12" s="155" t="s">
        <v>322</v>
      </c>
    </row>
    <row r="13" spans="2:38" x14ac:dyDescent="0.25">
      <c r="B13" s="31" t="s">
        <v>655</v>
      </c>
      <c r="C13" s="72">
        <v>1225</v>
      </c>
      <c r="E13" s="37" t="s">
        <v>323</v>
      </c>
      <c r="G13" s="6" t="s">
        <v>324</v>
      </c>
      <c r="I13" s="6" t="s">
        <v>325</v>
      </c>
      <c r="K13" s="6" t="s">
        <v>136</v>
      </c>
      <c r="M13" s="115" t="s">
        <v>326</v>
      </c>
      <c r="O13" s="158" t="s">
        <v>318</v>
      </c>
      <c r="P13" s="158" t="s">
        <v>265</v>
      </c>
      <c r="Q13" s="158"/>
      <c r="R13" s="158" t="str">
        <f>LEFT(Measures_All[[#This Row],[All Valid Measures]],2)</f>
        <v>AP</v>
      </c>
      <c r="S13" s="158" t="str">
        <f>RIGHT(Measures_All[[#This Row],[All Valid Measures]],4)</f>
        <v>INDU</v>
      </c>
      <c r="T13" t="s">
        <v>25</v>
      </c>
      <c r="U13" t="s">
        <v>259</v>
      </c>
      <c r="AA13" s="591"/>
      <c r="AB13" s="6" t="s">
        <v>679</v>
      </c>
      <c r="AC13" s="236" t="s">
        <v>210</v>
      </c>
      <c r="AD13" s="237" t="s">
        <v>210</v>
      </c>
      <c r="AE13" s="6" t="s">
        <v>679</v>
      </c>
      <c r="AF13" s="6" t="s">
        <v>679</v>
      </c>
      <c r="AH13" s="145" t="s">
        <v>648</v>
      </c>
      <c r="AI13" s="145" t="s">
        <v>328</v>
      </c>
      <c r="AJ13" s="145" t="s">
        <v>329</v>
      </c>
      <c r="AK13" s="150" t="s">
        <v>330</v>
      </c>
      <c r="AL13" s="155" t="s">
        <v>331</v>
      </c>
    </row>
    <row r="14" spans="2:38" ht="15" customHeight="1" x14ac:dyDescent="0.25">
      <c r="B14" s="33" t="s">
        <v>656</v>
      </c>
      <c r="C14" s="73">
        <v>1226</v>
      </c>
      <c r="E14" s="6" t="s">
        <v>134</v>
      </c>
      <c r="G14" s="6" t="s">
        <v>777</v>
      </c>
      <c r="I14" s="6" t="s">
        <v>333</v>
      </c>
      <c r="K14" s="6" t="s">
        <v>334</v>
      </c>
      <c r="M14" s="115" t="s">
        <v>142</v>
      </c>
      <c r="O14" s="158" t="s">
        <v>327</v>
      </c>
      <c r="P14" s="158" t="s">
        <v>265</v>
      </c>
      <c r="Q14" s="158"/>
      <c r="R14" s="158" t="str">
        <f>LEFT(Measures_All[[#This Row],[All Valid Measures]],2)</f>
        <v>AP</v>
      </c>
      <c r="S14" s="158" t="str">
        <f>RIGHT(Measures_All[[#This Row],[All Valid Measures]],4)</f>
        <v>RHDA</v>
      </c>
      <c r="T14" t="s">
        <v>25</v>
      </c>
      <c r="U14" t="s">
        <v>259</v>
      </c>
      <c r="AA14" s="591"/>
      <c r="AB14" s="6" t="s">
        <v>679</v>
      </c>
      <c r="AC14" s="236" t="s">
        <v>210</v>
      </c>
      <c r="AD14" s="237" t="s">
        <v>639</v>
      </c>
      <c r="AE14" s="6" t="s">
        <v>679</v>
      </c>
      <c r="AF14" s="6" t="s">
        <v>679</v>
      </c>
      <c r="AH14" s="145" t="s">
        <v>649</v>
      </c>
      <c r="AI14" s="145" t="s">
        <v>336</v>
      </c>
      <c r="AJ14" s="145" t="s">
        <v>337</v>
      </c>
      <c r="AK14" s="150" t="s">
        <v>338</v>
      </c>
      <c r="AL14" s="155" t="s">
        <v>339</v>
      </c>
    </row>
    <row r="15" spans="2:38" x14ac:dyDescent="0.25">
      <c r="E15" s="6" t="s">
        <v>341</v>
      </c>
      <c r="G15" s="6" t="s">
        <v>23</v>
      </c>
      <c r="I15" s="6" t="s">
        <v>343</v>
      </c>
      <c r="K15" s="6" t="s">
        <v>344</v>
      </c>
      <c r="M15" s="115" t="s">
        <v>256</v>
      </c>
      <c r="O15" s="158" t="s">
        <v>335</v>
      </c>
      <c r="P15" s="158" t="s">
        <v>265</v>
      </c>
      <c r="Q15" s="158"/>
      <c r="R15" s="158" t="str">
        <f>LEFT(Measures_All[[#This Row],[All Valid Measures]],2)</f>
        <v>AP</v>
      </c>
      <c r="S15" s="158" t="str">
        <f>RIGHT(Measures_All[[#This Row],[All Valid Measures]],4)</f>
        <v>WASH</v>
      </c>
      <c r="T15" t="s">
        <v>259</v>
      </c>
      <c r="U15" t="s">
        <v>259</v>
      </c>
      <c r="W15" s="6" t="s">
        <v>14</v>
      </c>
      <c r="AA15" s="591"/>
      <c r="AB15" s="235" t="s">
        <v>680</v>
      </c>
      <c r="AC15" s="236" t="s">
        <v>639</v>
      </c>
      <c r="AD15" s="237" t="s">
        <v>528</v>
      </c>
      <c r="AE15" s="6" t="s">
        <v>528</v>
      </c>
      <c r="AF15" s="6" t="s">
        <v>677</v>
      </c>
      <c r="AH15" s="145" t="s">
        <v>650</v>
      </c>
      <c r="AI15" s="145" t="s">
        <v>346</v>
      </c>
      <c r="AJ15" s="145" t="s">
        <v>347</v>
      </c>
      <c r="AK15" s="150" t="s">
        <v>348</v>
      </c>
      <c r="AL15" s="155" t="s">
        <v>349</v>
      </c>
    </row>
    <row r="16" spans="2:38" x14ac:dyDescent="0.25">
      <c r="C16" s="139"/>
      <c r="I16" s="6" t="s">
        <v>351</v>
      </c>
      <c r="K16" s="6" t="s">
        <v>352</v>
      </c>
      <c r="M16" s="115" t="s">
        <v>353</v>
      </c>
      <c r="O16" s="159" t="s">
        <v>345</v>
      </c>
      <c r="P16" s="158" t="s">
        <v>294</v>
      </c>
      <c r="Q16" s="158"/>
      <c r="R16" s="158" t="str">
        <f>LEFT(Measures_All[[#This Row],[All Valid Measures]],2)</f>
        <v>AP</v>
      </c>
      <c r="S16" s="158" t="str">
        <f>RIGHT(Measures_All[[#This Row],[All Valid Measures]],4)</f>
        <v>WSHE</v>
      </c>
      <c r="T16" t="s">
        <v>25</v>
      </c>
      <c r="U16" t="s">
        <v>259</v>
      </c>
      <c r="W16" s="6" t="s">
        <v>541</v>
      </c>
      <c r="AA16" s="591"/>
      <c r="AB16" s="6" t="s">
        <v>679</v>
      </c>
      <c r="AC16" s="236" t="s">
        <v>639</v>
      </c>
      <c r="AD16" s="237" t="s">
        <v>269</v>
      </c>
      <c r="AE16" s="6" t="s">
        <v>679</v>
      </c>
      <c r="AF16" s="6" t="s">
        <v>679</v>
      </c>
      <c r="AH16" s="145" t="s">
        <v>651</v>
      </c>
      <c r="AI16" s="145" t="s">
        <v>355</v>
      </c>
      <c r="AJ16" s="145" t="s">
        <v>356</v>
      </c>
      <c r="AK16" s="150" t="s">
        <v>357</v>
      </c>
      <c r="AL16" s="155" t="s">
        <v>358</v>
      </c>
    </row>
    <row r="17" spans="1:38" x14ac:dyDescent="0.25">
      <c r="B17" s="80" t="s">
        <v>332</v>
      </c>
      <c r="C17" s="139"/>
      <c r="E17" s="37" t="s">
        <v>360</v>
      </c>
      <c r="G17" s="37" t="s">
        <v>342</v>
      </c>
      <c r="K17" s="6" t="s">
        <v>135</v>
      </c>
      <c r="M17" s="115" t="s">
        <v>361</v>
      </c>
      <c r="O17" s="159" t="s">
        <v>354</v>
      </c>
      <c r="P17" s="158" t="s">
        <v>294</v>
      </c>
      <c r="Q17" s="158"/>
      <c r="R17" s="158" t="str">
        <f>LEFT(Measures_All[[#This Row],[All Valid Measures]],2)</f>
        <v>AP</v>
      </c>
      <c r="S17" s="158" t="str">
        <f>RIGHT(Measures_All[[#This Row],[All Valid Measures]],4)</f>
        <v>WSHG</v>
      </c>
      <c r="T17" t="s">
        <v>259</v>
      </c>
      <c r="U17" t="s">
        <v>25</v>
      </c>
      <c r="W17" s="6" t="s">
        <v>542</v>
      </c>
      <c r="AA17" s="591"/>
      <c r="AB17" s="6" t="s">
        <v>679</v>
      </c>
      <c r="AC17" s="236" t="s">
        <v>639</v>
      </c>
      <c r="AD17" s="237" t="s">
        <v>210</v>
      </c>
      <c r="AE17" s="6" t="s">
        <v>679</v>
      </c>
      <c r="AF17" s="6" t="s">
        <v>679</v>
      </c>
      <c r="AH17" s="145" t="s">
        <v>652</v>
      </c>
      <c r="AI17" s="145" t="s">
        <v>364</v>
      </c>
      <c r="AJ17" s="145" t="s">
        <v>365</v>
      </c>
      <c r="AK17" s="150" t="s">
        <v>132</v>
      </c>
      <c r="AL17" s="155" t="s">
        <v>366</v>
      </c>
    </row>
    <row r="18" spans="1:38" x14ac:dyDescent="0.25">
      <c r="A18" s="7">
        <v>1</v>
      </c>
      <c r="B18" s="79" t="s">
        <v>340</v>
      </c>
      <c r="C18" s="139"/>
      <c r="E18" s="6" t="s">
        <v>259</v>
      </c>
      <c r="G18" s="6">
        <v>1</v>
      </c>
      <c r="I18" s="38" t="s">
        <v>368</v>
      </c>
      <c r="K18" s="6" t="s">
        <v>663</v>
      </c>
      <c r="M18" s="6" t="s">
        <v>370</v>
      </c>
      <c r="O18" s="158" t="s">
        <v>362</v>
      </c>
      <c r="P18" s="158" t="s">
        <v>363</v>
      </c>
      <c r="Q18" s="158"/>
      <c r="R18" s="158" t="str">
        <f>LEFT(Measures_All[[#This Row],[All Valid Measures]],2)</f>
        <v>BE</v>
      </c>
      <c r="S18" s="158" t="str">
        <f>RIGHT(Measures_All[[#This Row],[All Valid Measures]],4)</f>
        <v>AIRS</v>
      </c>
      <c r="T18" t="s">
        <v>259</v>
      </c>
      <c r="U18" t="s">
        <v>259</v>
      </c>
      <c r="W18" s="6" t="s">
        <v>543</v>
      </c>
      <c r="AA18" s="591"/>
      <c r="AB18" s="6" t="s">
        <v>679</v>
      </c>
      <c r="AC18" s="236" t="s">
        <v>639</v>
      </c>
      <c r="AD18" s="237" t="s">
        <v>639</v>
      </c>
      <c r="AE18" s="6" t="s">
        <v>679</v>
      </c>
      <c r="AF18" s="6" t="s">
        <v>679</v>
      </c>
      <c r="AH18" s="145" t="s">
        <v>653</v>
      </c>
      <c r="AI18" s="145" t="s">
        <v>373</v>
      </c>
      <c r="AJ18" s="145" t="s">
        <v>374</v>
      </c>
      <c r="AK18" s="150" t="s">
        <v>375</v>
      </c>
      <c r="AL18" s="155" t="s">
        <v>376</v>
      </c>
    </row>
    <row r="19" spans="1:38" x14ac:dyDescent="0.25">
      <c r="A19" s="6">
        <v>2</v>
      </c>
      <c r="B19" s="79" t="s">
        <v>350</v>
      </c>
      <c r="C19" s="139"/>
      <c r="E19" s="6" t="s">
        <v>378</v>
      </c>
      <c r="G19" s="6">
        <v>2</v>
      </c>
      <c r="I19" s="6" t="s">
        <v>382</v>
      </c>
      <c r="K19" s="6" t="s">
        <v>211</v>
      </c>
      <c r="M19" s="115" t="s">
        <v>379</v>
      </c>
      <c r="O19" s="159" t="s">
        <v>371</v>
      </c>
      <c r="P19" s="158" t="s">
        <v>372</v>
      </c>
      <c r="Q19" s="158"/>
      <c r="R19" s="158" t="str">
        <f>LEFT(Measures_All[[#This Row],[All Valid Measures]],2)</f>
        <v>BE</v>
      </c>
      <c r="S19" s="158" t="str">
        <f>RIGHT(Measures_All[[#This Row],[All Valid Measures]],4)</f>
        <v>AS15</v>
      </c>
      <c r="T19" t="s">
        <v>259</v>
      </c>
      <c r="U19" t="s">
        <v>259</v>
      </c>
      <c r="W19" s="6" t="s">
        <v>544</v>
      </c>
      <c r="AH19" s="145" t="s">
        <v>724</v>
      </c>
      <c r="AI19" s="145" t="s">
        <v>917</v>
      </c>
      <c r="AJ19" s="145" t="s">
        <v>725</v>
      </c>
      <c r="AK19" s="150" t="s">
        <v>726</v>
      </c>
      <c r="AL19" s="155" t="s">
        <v>759</v>
      </c>
    </row>
    <row r="20" spans="1:38" ht="15" customHeight="1" x14ac:dyDescent="0.25">
      <c r="A20" s="35">
        <v>3</v>
      </c>
      <c r="B20" s="79" t="s">
        <v>359</v>
      </c>
      <c r="C20" s="139"/>
      <c r="G20" s="6">
        <v>3</v>
      </c>
      <c r="I20" s="6" t="s">
        <v>387</v>
      </c>
      <c r="K20" s="6" t="s">
        <v>662</v>
      </c>
      <c r="M20" s="6" t="s">
        <v>384</v>
      </c>
      <c r="O20" s="159" t="s">
        <v>380</v>
      </c>
      <c r="P20" s="158" t="s">
        <v>372</v>
      </c>
      <c r="Q20" s="158"/>
      <c r="R20" s="158" t="str">
        <f>LEFT(Measures_All[[#This Row],[All Valid Measures]],2)</f>
        <v>BE</v>
      </c>
      <c r="S20" s="158" t="str">
        <f>RIGHT(Measures_All[[#This Row],[All Valid Measures]],4)</f>
        <v>AS30</v>
      </c>
      <c r="T20" t="s">
        <v>259</v>
      </c>
      <c r="U20" t="s">
        <v>259</v>
      </c>
      <c r="W20" s="6" t="s">
        <v>21</v>
      </c>
      <c r="AA20" s="591" t="s">
        <v>275</v>
      </c>
      <c r="AB20" s="234" t="s">
        <v>262</v>
      </c>
      <c r="AC20" s="6" t="s">
        <v>260</v>
      </c>
      <c r="AD20" s="6" t="s">
        <v>261</v>
      </c>
      <c r="AE20" s="6" t="s">
        <v>263</v>
      </c>
      <c r="AF20" s="6" t="s">
        <v>676</v>
      </c>
      <c r="AH20" s="145" t="s">
        <v>913</v>
      </c>
      <c r="AI20" s="389" t="s">
        <v>892</v>
      </c>
      <c r="AJ20" s="390" t="s">
        <v>893</v>
      </c>
      <c r="AK20" s="150" t="s">
        <v>894</v>
      </c>
      <c r="AL20" s="145" t="s">
        <v>912</v>
      </c>
    </row>
    <row r="21" spans="1:38" x14ac:dyDescent="0.25">
      <c r="A21" s="6">
        <v>4</v>
      </c>
      <c r="B21" s="79" t="s">
        <v>367</v>
      </c>
      <c r="C21" s="139"/>
      <c r="E21" s="37" t="s">
        <v>88</v>
      </c>
      <c r="G21" s="6">
        <v>4</v>
      </c>
      <c r="I21" s="6" t="s">
        <v>25</v>
      </c>
      <c r="K21" s="6" t="s">
        <v>583</v>
      </c>
      <c r="O21" s="159" t="s">
        <v>385</v>
      </c>
      <c r="P21" s="158" t="s">
        <v>372</v>
      </c>
      <c r="Q21" s="158"/>
      <c r="R21" s="158" t="str">
        <f>LEFT(Measures_All[[#This Row],[All Valid Measures]],2)</f>
        <v>BE</v>
      </c>
      <c r="S21" s="158" t="str">
        <f>RIGHT(Measures_All[[#This Row],[All Valid Measures]],4)</f>
        <v>AI30</v>
      </c>
      <c r="T21" t="s">
        <v>259</v>
      </c>
      <c r="U21" t="s">
        <v>259</v>
      </c>
      <c r="W21" s="6" t="s">
        <v>545</v>
      </c>
      <c r="AA21" s="591"/>
      <c r="AB21" s="235" t="s">
        <v>275</v>
      </c>
      <c r="AC21" s="236" t="s">
        <v>528</v>
      </c>
      <c r="AD21" s="237" t="s">
        <v>528</v>
      </c>
      <c r="AE21" s="6" t="s">
        <v>528</v>
      </c>
      <c r="AF21" s="6" t="s">
        <v>677</v>
      </c>
      <c r="AH21" s="145"/>
      <c r="AI21" s="145"/>
      <c r="AJ21" s="145"/>
      <c r="AK21" s="150"/>
      <c r="AL21" s="145"/>
    </row>
    <row r="22" spans="1:38" x14ac:dyDescent="0.25">
      <c r="A22" s="6">
        <v>5</v>
      </c>
      <c r="B22" s="79" t="s">
        <v>377</v>
      </c>
      <c r="C22" s="139"/>
      <c r="E22" s="6" t="s">
        <v>137</v>
      </c>
      <c r="K22" s="6" t="s">
        <v>661</v>
      </c>
      <c r="M22" s="6" t="s">
        <v>393</v>
      </c>
      <c r="O22" s="159" t="s">
        <v>388</v>
      </c>
      <c r="P22" s="158" t="s">
        <v>372</v>
      </c>
      <c r="Q22" s="158"/>
      <c r="R22" s="158" t="str">
        <f>LEFT(Measures_All[[#This Row],[All Valid Measures]],2)</f>
        <v>BE</v>
      </c>
      <c r="S22" s="158" t="str">
        <f>RIGHT(Measures_All[[#This Row],[All Valid Measures]],4)</f>
        <v>AI38</v>
      </c>
      <c r="T22" t="s">
        <v>259</v>
      </c>
      <c r="U22" t="s">
        <v>259</v>
      </c>
      <c r="W22" s="6" t="s">
        <v>600</v>
      </c>
      <c r="AA22" s="591"/>
      <c r="AB22" s="235" t="s">
        <v>275</v>
      </c>
      <c r="AC22" s="236" t="s">
        <v>528</v>
      </c>
      <c r="AD22" s="237" t="s">
        <v>269</v>
      </c>
      <c r="AE22" s="6" t="s">
        <v>528</v>
      </c>
      <c r="AF22" s="6" t="s">
        <v>677</v>
      </c>
    </row>
    <row r="23" spans="1:38" x14ac:dyDescent="0.25">
      <c r="A23" s="6">
        <v>6</v>
      </c>
      <c r="B23" s="32" t="s">
        <v>381</v>
      </c>
      <c r="C23" s="139"/>
      <c r="G23" s="37" t="s">
        <v>386</v>
      </c>
      <c r="I23" s="37" t="s">
        <v>401</v>
      </c>
      <c r="K23" s="6" t="s">
        <v>584</v>
      </c>
      <c r="M23" s="7" t="s">
        <v>714</v>
      </c>
      <c r="O23" s="159" t="s">
        <v>394</v>
      </c>
      <c r="P23" s="158" t="s">
        <v>372</v>
      </c>
      <c r="Q23" s="158"/>
      <c r="R23" s="158" t="str">
        <f>LEFT(Measures_All[[#This Row],[All Valid Measures]],2)</f>
        <v>BE</v>
      </c>
      <c r="S23" s="158" t="str">
        <f>RIGHT(Measures_All[[#This Row],[All Valid Measures]],4)</f>
        <v>AI49</v>
      </c>
      <c r="T23" t="s">
        <v>259</v>
      </c>
      <c r="U23" t="s">
        <v>259</v>
      </c>
      <c r="W23" s="6" t="s">
        <v>16</v>
      </c>
      <c r="AA23" s="591"/>
      <c r="AB23" s="235" t="s">
        <v>275</v>
      </c>
      <c r="AC23" s="236" t="s">
        <v>528</v>
      </c>
      <c r="AD23" s="237" t="s">
        <v>210</v>
      </c>
      <c r="AE23" s="6" t="s">
        <v>528</v>
      </c>
      <c r="AF23" s="6" t="s">
        <v>677</v>
      </c>
    </row>
    <row r="24" spans="1:38" x14ac:dyDescent="0.25">
      <c r="E24" s="6" t="s">
        <v>399</v>
      </c>
      <c r="G24" s="6" t="s">
        <v>391</v>
      </c>
      <c r="I24" s="6" t="s">
        <v>406</v>
      </c>
      <c r="K24" s="6" t="s">
        <v>585</v>
      </c>
      <c r="M24" s="7" t="s">
        <v>715</v>
      </c>
      <c r="O24" s="159" t="s">
        <v>397</v>
      </c>
      <c r="P24" s="158" t="s">
        <v>372</v>
      </c>
      <c r="Q24" s="158"/>
      <c r="R24" s="158" t="str">
        <f>LEFT(Measures_All[[#This Row],[All Valid Measures]],2)</f>
        <v>BE</v>
      </c>
      <c r="S24" s="158" t="str">
        <f>RIGHT(Measures_All[[#This Row],[All Valid Measures]],4)</f>
        <v>FI19</v>
      </c>
      <c r="T24" t="s">
        <v>259</v>
      </c>
      <c r="U24" t="s">
        <v>259</v>
      </c>
      <c r="W24" s="6" t="s">
        <v>598</v>
      </c>
      <c r="AA24" s="591"/>
      <c r="AB24" s="235" t="s">
        <v>275</v>
      </c>
      <c r="AC24" s="236" t="s">
        <v>528</v>
      </c>
      <c r="AD24" s="237" t="s">
        <v>639</v>
      </c>
      <c r="AE24" s="6" t="s">
        <v>528</v>
      </c>
      <c r="AF24" s="6" t="s">
        <v>677</v>
      </c>
      <c r="AH24" s="119" t="s">
        <v>645</v>
      </c>
      <c r="AI24" s="138" t="s">
        <v>389</v>
      </c>
      <c r="AJ24" s="138"/>
      <c r="AK24" s="138"/>
    </row>
    <row r="25" spans="1:38" x14ac:dyDescent="0.25">
      <c r="B25" s="76" t="s">
        <v>390</v>
      </c>
      <c r="E25" s="6" t="s">
        <v>802</v>
      </c>
      <c r="G25" s="6" t="s">
        <v>396</v>
      </c>
      <c r="I25" s="6" t="s">
        <v>410</v>
      </c>
      <c r="K25" s="6" t="s">
        <v>369</v>
      </c>
      <c r="M25" s="7" t="s">
        <v>402</v>
      </c>
      <c r="O25" s="159" t="s">
        <v>403</v>
      </c>
      <c r="P25" s="158" t="s">
        <v>372</v>
      </c>
      <c r="Q25" s="158"/>
      <c r="R25" s="158" t="str">
        <f>LEFT(Measures_All[[#This Row],[All Valid Measures]],2)</f>
        <v>BE</v>
      </c>
      <c r="S25" s="158" t="str">
        <f>RIGHT(Measures_All[[#This Row],[All Valid Measures]],4)</f>
        <v>FI30</v>
      </c>
      <c r="T25" t="s">
        <v>259</v>
      </c>
      <c r="U25" t="s">
        <v>259</v>
      </c>
      <c r="W25" s="6" t="s">
        <v>599</v>
      </c>
      <c r="AA25" s="591"/>
      <c r="AB25" s="235" t="s">
        <v>275</v>
      </c>
      <c r="AC25" s="236" t="s">
        <v>269</v>
      </c>
      <c r="AD25" s="237" t="s">
        <v>528</v>
      </c>
      <c r="AE25" s="6" t="s">
        <v>684</v>
      </c>
      <c r="AF25" s="6" t="s">
        <v>685</v>
      </c>
      <c r="AH25" s="136" t="s">
        <v>642</v>
      </c>
      <c r="AI25" s="136" t="s">
        <v>246</v>
      </c>
      <c r="AJ25" s="136"/>
      <c r="AK25" s="136"/>
    </row>
    <row r="26" spans="1:38" ht="30" x14ac:dyDescent="0.25">
      <c r="B26" s="77" t="s">
        <v>395</v>
      </c>
      <c r="E26" s="6" t="s">
        <v>139</v>
      </c>
      <c r="G26" s="6" t="s">
        <v>400</v>
      </c>
      <c r="I26" s="6" t="s">
        <v>718</v>
      </c>
      <c r="M26" s="7" t="s">
        <v>407</v>
      </c>
      <c r="O26" s="158" t="s">
        <v>408</v>
      </c>
      <c r="P26" s="158" t="s">
        <v>363</v>
      </c>
      <c r="Q26" s="158"/>
      <c r="R26" s="158" t="str">
        <f>LEFT(Measures_All[[#This Row],[All Valid Measures]],2)</f>
        <v>BE</v>
      </c>
      <c r="S26" s="158" t="str">
        <f>RIGHT(Measures_All[[#This Row],[All Valid Measures]],4)</f>
        <v>INSA</v>
      </c>
      <c r="T26" t="s">
        <v>259</v>
      </c>
      <c r="U26" t="s">
        <v>259</v>
      </c>
      <c r="W26" s="6" t="s">
        <v>546</v>
      </c>
      <c r="AA26" s="591"/>
      <c r="AB26" s="235" t="s">
        <v>275</v>
      </c>
      <c r="AC26" s="236" t="s">
        <v>269</v>
      </c>
      <c r="AD26" s="237" t="s">
        <v>269</v>
      </c>
      <c r="AE26" s="6" t="s">
        <v>684</v>
      </c>
      <c r="AF26" s="6" t="s">
        <v>757</v>
      </c>
      <c r="AH26" s="136" t="s">
        <v>643</v>
      </c>
      <c r="AI26" s="136" t="s">
        <v>644</v>
      </c>
      <c r="AJ26" s="136"/>
      <c r="AK26" s="136"/>
    </row>
    <row r="27" spans="1:38" ht="15" customHeight="1" x14ac:dyDescent="0.25">
      <c r="B27" s="77" t="s">
        <v>398</v>
      </c>
      <c r="G27" s="6" t="s">
        <v>405</v>
      </c>
      <c r="I27" s="6" t="s">
        <v>416</v>
      </c>
      <c r="K27" s="37" t="s">
        <v>383</v>
      </c>
      <c r="M27" s="7" t="s">
        <v>716</v>
      </c>
      <c r="O27" s="158" t="s">
        <v>413</v>
      </c>
      <c r="P27" s="158" t="s">
        <v>363</v>
      </c>
      <c r="Q27" s="158"/>
      <c r="R27" s="158" t="str">
        <f>LEFT(Measures_All[[#This Row],[All Valid Measures]],2)</f>
        <v>BE</v>
      </c>
      <c r="S27" s="158" t="str">
        <f>RIGHT(Measures_All[[#This Row],[All Valid Measures]],4)</f>
        <v>INSF</v>
      </c>
      <c r="T27" t="s">
        <v>259</v>
      </c>
      <c r="U27" t="s">
        <v>259</v>
      </c>
      <c r="W27" s="6" t="s">
        <v>547</v>
      </c>
      <c r="AA27" s="591"/>
      <c r="AB27" s="235" t="s">
        <v>679</v>
      </c>
      <c r="AC27" s="236" t="s">
        <v>269</v>
      </c>
      <c r="AD27" s="237" t="s">
        <v>210</v>
      </c>
      <c r="AE27" s="6" t="s">
        <v>679</v>
      </c>
      <c r="AF27" s="6" t="s">
        <v>679</v>
      </c>
      <c r="AH27" s="333" t="s">
        <v>739</v>
      </c>
      <c r="AI27" s="333" t="s">
        <v>753</v>
      </c>
      <c r="AJ27" s="333"/>
      <c r="AK27" s="333"/>
    </row>
    <row r="28" spans="1:38" x14ac:dyDescent="0.25">
      <c r="B28" s="78" t="s">
        <v>404</v>
      </c>
      <c r="E28" s="37" t="s">
        <v>420</v>
      </c>
      <c r="G28" s="6" t="s">
        <v>409</v>
      </c>
      <c r="K28" s="6" t="s">
        <v>136</v>
      </c>
      <c r="M28" s="7" t="s">
        <v>412</v>
      </c>
      <c r="O28" s="158" t="s">
        <v>418</v>
      </c>
      <c r="P28" s="158" t="s">
        <v>265</v>
      </c>
      <c r="Q28" s="158"/>
      <c r="R28" s="158" t="str">
        <f>LEFT(Measures_All[[#This Row],[All Valid Measures]],2)</f>
        <v>BE</v>
      </c>
      <c r="S28" s="158" t="str">
        <f>RIGHT(Measures_All[[#This Row],[All Valid Measures]],4)</f>
        <v>INSS</v>
      </c>
      <c r="T28" t="s">
        <v>259</v>
      </c>
      <c r="U28" t="s">
        <v>259</v>
      </c>
      <c r="AA28" s="591"/>
      <c r="AB28" s="235" t="s">
        <v>679</v>
      </c>
      <c r="AC28" s="236" t="s">
        <v>269</v>
      </c>
      <c r="AD28" s="237" t="s">
        <v>639</v>
      </c>
      <c r="AE28" s="6" t="s">
        <v>679</v>
      </c>
      <c r="AF28" s="6" t="s">
        <v>679</v>
      </c>
      <c r="AH28" s="333" t="s">
        <v>872</v>
      </c>
      <c r="AI28" s="333" t="s">
        <v>891</v>
      </c>
      <c r="AJ28" s="333"/>
      <c r="AK28" s="333"/>
    </row>
    <row r="29" spans="1:38" x14ac:dyDescent="0.25">
      <c r="A29" s="7"/>
      <c r="C29" s="74"/>
      <c r="E29" s="6" t="s">
        <v>423</v>
      </c>
      <c r="G29" s="6" t="s">
        <v>415</v>
      </c>
      <c r="K29" s="6" t="s">
        <v>392</v>
      </c>
      <c r="M29" s="7" t="s">
        <v>417</v>
      </c>
      <c r="O29" s="158" t="s">
        <v>421</v>
      </c>
      <c r="P29" s="158" t="s">
        <v>363</v>
      </c>
      <c r="Q29" s="158"/>
      <c r="R29" s="158" t="str">
        <f>LEFT(Measures_All[[#This Row],[All Valid Measures]],2)</f>
        <v>BE</v>
      </c>
      <c r="S29" s="158" t="str">
        <f>RIGHT(Measures_All[[#This Row],[All Valid Measures]],4)</f>
        <v>INSW</v>
      </c>
      <c r="T29" t="s">
        <v>259</v>
      </c>
      <c r="U29" t="s">
        <v>259</v>
      </c>
      <c r="AA29" s="591"/>
      <c r="AB29" s="235" t="s">
        <v>679</v>
      </c>
      <c r="AC29" s="236" t="s">
        <v>210</v>
      </c>
      <c r="AD29" s="237" t="s">
        <v>528</v>
      </c>
      <c r="AE29" s="6" t="s">
        <v>679</v>
      </c>
      <c r="AF29" s="6" t="s">
        <v>679</v>
      </c>
      <c r="AH29" s="388" t="s">
        <v>890</v>
      </c>
      <c r="AI29" s="7"/>
      <c r="AJ29" s="7"/>
      <c r="AK29" s="7"/>
    </row>
    <row r="30" spans="1:38" x14ac:dyDescent="0.25">
      <c r="A30" s="7"/>
      <c r="B30" s="69" t="s">
        <v>414</v>
      </c>
      <c r="C30" s="74"/>
      <c r="E30" s="6" t="s">
        <v>426</v>
      </c>
      <c r="K30" s="6" t="s">
        <v>344</v>
      </c>
      <c r="O30" s="157" t="s">
        <v>424</v>
      </c>
      <c r="R30" s="157" t="str">
        <f>LEFT(Measures_All[[#This Row],[All Valid Measures]],2)</f>
        <v>BE</v>
      </c>
      <c r="S30" s="157" t="str">
        <f>RIGHT(Measures_All[[#This Row],[All Valid Measures]],4)</f>
        <v>RADB</v>
      </c>
      <c r="T30" t="s">
        <v>259</v>
      </c>
      <c r="U30" t="s">
        <v>259</v>
      </c>
      <c r="W30" s="6" t="s">
        <v>290</v>
      </c>
      <c r="AA30" s="591"/>
      <c r="AB30" s="235" t="s">
        <v>679</v>
      </c>
      <c r="AC30" s="236" t="s">
        <v>210</v>
      </c>
      <c r="AD30" s="237" t="s">
        <v>269</v>
      </c>
      <c r="AE30" s="6" t="s">
        <v>679</v>
      </c>
      <c r="AF30" s="6" t="s">
        <v>679</v>
      </c>
    </row>
    <row r="31" spans="1:38" x14ac:dyDescent="0.25">
      <c r="A31" s="7"/>
      <c r="B31" s="5" t="s">
        <v>419</v>
      </c>
      <c r="C31" s="74"/>
      <c r="E31" s="6" t="s">
        <v>429</v>
      </c>
      <c r="G31" s="6" t="s">
        <v>67</v>
      </c>
      <c r="K31" s="6" t="s">
        <v>211</v>
      </c>
      <c r="O31" s="157" t="s">
        <v>595</v>
      </c>
      <c r="P31" s="157" t="s">
        <v>601</v>
      </c>
      <c r="R31" s="157" t="str">
        <f>LEFT(Measures_All[[#This Row],[All Valid Measures]],2)</f>
        <v>BE</v>
      </c>
      <c r="S31" s="157" t="str">
        <f>RIGHT(Measures_All[[#This Row],[All Valid Measures]],4)</f>
        <v>RADC</v>
      </c>
      <c r="T31" s="190" t="s">
        <v>25</v>
      </c>
      <c r="U31" s="190" t="s">
        <v>259</v>
      </c>
      <c r="W31" s="6" t="s">
        <v>548</v>
      </c>
      <c r="AA31" s="591"/>
      <c r="AB31" s="235" t="s">
        <v>679</v>
      </c>
      <c r="AC31" s="236" t="s">
        <v>210</v>
      </c>
      <c r="AD31" s="237" t="s">
        <v>210</v>
      </c>
      <c r="AE31" s="6" t="s">
        <v>679</v>
      </c>
      <c r="AF31" s="6" t="s">
        <v>679</v>
      </c>
    </row>
    <row r="32" spans="1:38" x14ac:dyDescent="0.25">
      <c r="A32" s="7"/>
      <c r="B32" s="5" t="s">
        <v>422</v>
      </c>
      <c r="C32" s="74"/>
      <c r="E32" s="6" t="s">
        <v>433</v>
      </c>
      <c r="G32" s="6" t="s">
        <v>528</v>
      </c>
      <c r="K32" s="6" t="s">
        <v>212</v>
      </c>
      <c r="M32" s="6" t="s">
        <v>390</v>
      </c>
      <c r="O32" s="157" t="s">
        <v>427</v>
      </c>
      <c r="R32" s="157" t="str">
        <f>LEFT(Measures_All[[#This Row],[All Valid Measures]],2)</f>
        <v>BE</v>
      </c>
      <c r="S32" s="157" t="str">
        <f>RIGHT(Measures_All[[#This Row],[All Valid Measures]],4)</f>
        <v>ROOF</v>
      </c>
      <c r="T32" t="s">
        <v>25</v>
      </c>
      <c r="U32" t="s">
        <v>259</v>
      </c>
      <c r="AA32" s="591"/>
      <c r="AB32" s="235" t="s">
        <v>679</v>
      </c>
      <c r="AC32" s="236" t="s">
        <v>210</v>
      </c>
      <c r="AD32" s="237" t="s">
        <v>639</v>
      </c>
      <c r="AE32" s="6" t="s">
        <v>679</v>
      </c>
      <c r="AF32" s="6" t="s">
        <v>679</v>
      </c>
    </row>
    <row r="33" spans="1:45" x14ac:dyDescent="0.25">
      <c r="A33" s="7"/>
      <c r="B33" s="5" t="s">
        <v>425</v>
      </c>
      <c r="C33" s="74"/>
      <c r="E33" s="75" t="s">
        <v>437</v>
      </c>
      <c r="G33" s="6" t="s">
        <v>529</v>
      </c>
      <c r="K33" s="6" t="s">
        <v>586</v>
      </c>
      <c r="M33" s="6" t="s">
        <v>395</v>
      </c>
      <c r="O33" s="157" t="s">
        <v>596</v>
      </c>
      <c r="P33" s="157" t="s">
        <v>601</v>
      </c>
      <c r="R33" s="157" t="str">
        <f>LEFT(Measures_All[[#This Row],[All Valid Measures]],2)</f>
        <v>BE</v>
      </c>
      <c r="S33" s="157" t="str">
        <f>RIGHT(Measures_All[[#This Row],[All Valid Measures]],4)</f>
        <v>WCIN</v>
      </c>
      <c r="T33" s="190" t="s">
        <v>259</v>
      </c>
      <c r="U33" s="190" t="s">
        <v>259</v>
      </c>
      <c r="AA33" s="591"/>
      <c r="AB33" s="235" t="s">
        <v>679</v>
      </c>
      <c r="AC33" s="236" t="s">
        <v>639</v>
      </c>
      <c r="AD33" s="237" t="s">
        <v>528</v>
      </c>
      <c r="AE33" s="6" t="s">
        <v>679</v>
      </c>
      <c r="AF33" s="6" t="s">
        <v>679</v>
      </c>
    </row>
    <row r="34" spans="1:45" x14ac:dyDescent="0.25">
      <c r="B34" s="5" t="s">
        <v>428</v>
      </c>
      <c r="G34" s="6" t="s">
        <v>210</v>
      </c>
      <c r="K34" s="6" t="s">
        <v>639</v>
      </c>
      <c r="M34" s="6" t="s">
        <v>398</v>
      </c>
      <c r="O34" s="157" t="s">
        <v>597</v>
      </c>
      <c r="P34" s="157" t="s">
        <v>601</v>
      </c>
      <c r="R34" s="157" t="str">
        <f>LEFT(Measures_All[[#This Row],[All Valid Measures]],2)</f>
        <v>BE</v>
      </c>
      <c r="S34" s="157" t="str">
        <f>RIGHT(Measures_All[[#This Row],[All Valid Measures]],4)</f>
        <v>WCEX</v>
      </c>
      <c r="T34" s="190" t="s">
        <v>25</v>
      </c>
      <c r="U34" s="190" t="s">
        <v>259</v>
      </c>
      <c r="W34" s="6" t="s">
        <v>22</v>
      </c>
      <c r="AA34" s="591"/>
      <c r="AB34" s="235" t="s">
        <v>679</v>
      </c>
      <c r="AC34" s="236" t="s">
        <v>639</v>
      </c>
      <c r="AD34" s="237" t="s">
        <v>269</v>
      </c>
      <c r="AE34" s="6" t="s">
        <v>679</v>
      </c>
      <c r="AF34" s="6" t="s">
        <v>679</v>
      </c>
    </row>
    <row r="35" spans="1:45" x14ac:dyDescent="0.25">
      <c r="B35" s="5" t="s">
        <v>432</v>
      </c>
      <c r="E35" s="6" t="s">
        <v>255</v>
      </c>
      <c r="K35" s="6" t="s">
        <v>369</v>
      </c>
      <c r="M35" s="6" t="s">
        <v>404</v>
      </c>
      <c r="O35" s="157" t="s">
        <v>431</v>
      </c>
      <c r="R35" s="157" t="str">
        <f>LEFT(Measures_All[[#This Row],[All Valid Measures]],2)</f>
        <v>BE</v>
      </c>
      <c r="S35" s="157" t="str">
        <f>RIGHT(Measures_All[[#This Row],[All Valid Measures]],4)</f>
        <v>WFLM</v>
      </c>
      <c r="T35" t="s">
        <v>259</v>
      </c>
      <c r="U35" t="s">
        <v>259</v>
      </c>
      <c r="W35" s="6" t="s">
        <v>549</v>
      </c>
      <c r="AA35" s="591"/>
      <c r="AB35" s="235" t="s">
        <v>679</v>
      </c>
      <c r="AC35" s="236" t="s">
        <v>639</v>
      </c>
      <c r="AD35" s="237" t="s">
        <v>210</v>
      </c>
      <c r="AE35" s="6" t="s">
        <v>679</v>
      </c>
      <c r="AF35" s="6" t="s">
        <v>679</v>
      </c>
    </row>
    <row r="36" spans="1:45" x14ac:dyDescent="0.25">
      <c r="B36" s="5" t="s">
        <v>436</v>
      </c>
      <c r="D36" s="7"/>
      <c r="E36" s="7" t="s">
        <v>275</v>
      </c>
      <c r="F36" s="7"/>
      <c r="G36" s="6" t="s">
        <v>70</v>
      </c>
      <c r="H36" s="7"/>
      <c r="O36" s="159" t="s">
        <v>435</v>
      </c>
      <c r="P36" s="158" t="s">
        <v>372</v>
      </c>
      <c r="Q36" s="158"/>
      <c r="R36" s="158" t="str">
        <f>LEFT(Measures_All[[#This Row],[All Valid Measures]],2)</f>
        <v>BE</v>
      </c>
      <c r="S36" s="158" t="str">
        <f>RIGHT(Measures_All[[#This Row],[All Valid Measures]],4)</f>
        <v>WI13</v>
      </c>
      <c r="T36" t="s">
        <v>259</v>
      </c>
      <c r="U36" t="s">
        <v>259</v>
      </c>
      <c r="W36" s="6" t="s">
        <v>550</v>
      </c>
      <c r="AA36" s="591"/>
      <c r="AB36" s="235" t="s">
        <v>679</v>
      </c>
      <c r="AC36" s="236" t="s">
        <v>639</v>
      </c>
      <c r="AD36" s="237" t="s">
        <v>639</v>
      </c>
      <c r="AE36" s="6" t="s">
        <v>679</v>
      </c>
      <c r="AF36" s="6" t="s">
        <v>679</v>
      </c>
    </row>
    <row r="37" spans="1:45" x14ac:dyDescent="0.25">
      <c r="B37" s="3" t="s">
        <v>440</v>
      </c>
      <c r="D37" s="7"/>
      <c r="E37" s="7" t="s">
        <v>267</v>
      </c>
      <c r="F37" s="7"/>
      <c r="G37" s="6" t="s">
        <v>528</v>
      </c>
      <c r="H37" s="7"/>
      <c r="K37" s="6" t="s">
        <v>411</v>
      </c>
      <c r="O37" s="159" t="s">
        <v>439</v>
      </c>
      <c r="P37" s="158" t="s">
        <v>372</v>
      </c>
      <c r="Q37" s="158"/>
      <c r="R37" s="158" t="str">
        <f>LEFT(Measures_All[[#This Row],[All Valid Measures]],2)</f>
        <v>BE</v>
      </c>
      <c r="S37" s="158" t="str">
        <f>RIGHT(Measures_All[[#This Row],[All Valid Measures]],4)</f>
        <v>WI19</v>
      </c>
      <c r="T37" t="s">
        <v>259</v>
      </c>
      <c r="U37" t="s">
        <v>259</v>
      </c>
      <c r="W37" s="6" t="s">
        <v>551</v>
      </c>
      <c r="AA37" s="238"/>
      <c r="AB37" s="238"/>
    </row>
    <row r="38" spans="1:45" s="7" customFormat="1" x14ac:dyDescent="0.25">
      <c r="A38" s="6"/>
      <c r="B38" s="6"/>
      <c r="C38" s="71"/>
      <c r="E38" s="7" t="s">
        <v>266</v>
      </c>
      <c r="G38" s="6" t="s">
        <v>529</v>
      </c>
      <c r="K38" s="6" t="s">
        <v>136</v>
      </c>
      <c r="M38" s="6"/>
      <c r="O38" s="157" t="s">
        <v>441</v>
      </c>
      <c r="P38" s="157"/>
      <c r="Q38" s="157"/>
      <c r="R38" s="157" t="str">
        <f>LEFT(Measures_All[[#This Row],[All Valid Measures]],2)</f>
        <v>BE</v>
      </c>
      <c r="S38" s="157" t="str">
        <f>RIGHT(Measures_All[[#This Row],[All Valid Measures]],4)</f>
        <v>WIND</v>
      </c>
      <c r="T38" t="s">
        <v>259</v>
      </c>
      <c r="U38" t="s">
        <v>259</v>
      </c>
      <c r="W38" s="6" t="s">
        <v>552</v>
      </c>
      <c r="AA38" s="591" t="s">
        <v>267</v>
      </c>
      <c r="AB38" s="234" t="s">
        <v>262</v>
      </c>
      <c r="AC38" s="6" t="s">
        <v>260</v>
      </c>
      <c r="AD38" s="6" t="s">
        <v>261</v>
      </c>
      <c r="AE38" s="6" t="s">
        <v>263</v>
      </c>
      <c r="AF38" s="6" t="s">
        <v>676</v>
      </c>
      <c r="AG38" s="6"/>
      <c r="AH38" s="6"/>
      <c r="AI38" s="6"/>
      <c r="AJ38" s="6"/>
      <c r="AK38" s="6"/>
      <c r="AL38" s="6"/>
      <c r="AS38" s="6"/>
    </row>
    <row r="39" spans="1:45" s="7" customFormat="1" x14ac:dyDescent="0.25">
      <c r="A39" s="6"/>
      <c r="B39" s="68" t="s">
        <v>443</v>
      </c>
      <c r="C39" s="131" t="s">
        <v>444</v>
      </c>
      <c r="G39" s="6" t="s">
        <v>210</v>
      </c>
      <c r="K39" s="6" t="s">
        <v>334</v>
      </c>
      <c r="M39" s="6"/>
      <c r="O39" s="158" t="s">
        <v>442</v>
      </c>
      <c r="P39" s="158" t="s">
        <v>265</v>
      </c>
      <c r="Q39" s="158"/>
      <c r="R39" s="158" t="str">
        <f>LEFT(Measures_All[[#This Row],[All Valid Measures]],2)</f>
        <v>DR</v>
      </c>
      <c r="S39" s="158" t="str">
        <f>RIGHT(Measures_All[[#This Row],[All Valid Measures]],4)</f>
        <v>TESS</v>
      </c>
      <c r="T39" t="s">
        <v>25</v>
      </c>
      <c r="U39" t="s">
        <v>259</v>
      </c>
      <c r="W39" s="6" t="s">
        <v>553</v>
      </c>
      <c r="AA39" s="591"/>
      <c r="AB39" s="235" t="s">
        <v>267</v>
      </c>
      <c r="AC39" s="236" t="s">
        <v>528</v>
      </c>
      <c r="AD39" s="237" t="s">
        <v>528</v>
      </c>
      <c r="AE39" s="6" t="s">
        <v>528</v>
      </c>
      <c r="AF39" s="6" t="s">
        <v>677</v>
      </c>
      <c r="AH39" s="6"/>
      <c r="AI39" s="6"/>
      <c r="AJ39" s="6"/>
      <c r="AK39" s="6"/>
      <c r="AS39" s="6"/>
    </row>
    <row r="40" spans="1:45" s="7" customFormat="1" x14ac:dyDescent="0.25">
      <c r="A40" s="6"/>
      <c r="B40" s="31" t="s">
        <v>259</v>
      </c>
      <c r="C40" s="140">
        <v>0.2</v>
      </c>
      <c r="G40" s="6" t="s">
        <v>639</v>
      </c>
      <c r="K40" s="6" t="s">
        <v>392</v>
      </c>
      <c r="O40" s="159" t="s">
        <v>446</v>
      </c>
      <c r="P40" s="158" t="s">
        <v>372</v>
      </c>
      <c r="Q40" s="158"/>
      <c r="R40" s="158" t="str">
        <f>LEFT(Measures_All[[#This Row],[All Valid Measures]],2)</f>
        <v>HV</v>
      </c>
      <c r="S40" s="158" t="str">
        <f>RIGHT(Measures_All[[#This Row],[All Valid Measures]],4)</f>
        <v>AC14</v>
      </c>
      <c r="T40" t="s">
        <v>25</v>
      </c>
      <c r="U40" t="s">
        <v>259</v>
      </c>
      <c r="W40" s="6" t="s">
        <v>554</v>
      </c>
      <c r="AA40" s="591"/>
      <c r="AB40" s="235" t="s">
        <v>267</v>
      </c>
      <c r="AC40" s="236" t="s">
        <v>528</v>
      </c>
      <c r="AD40" s="237" t="s">
        <v>269</v>
      </c>
      <c r="AE40" s="6" t="s">
        <v>679</v>
      </c>
      <c r="AF40" s="6" t="s">
        <v>679</v>
      </c>
      <c r="AH40" s="6"/>
      <c r="AI40" s="6"/>
      <c r="AJ40" s="6"/>
      <c r="AK40" s="6"/>
      <c r="AS40" s="6"/>
    </row>
    <row r="41" spans="1:45" s="7" customFormat="1" x14ac:dyDescent="0.25">
      <c r="A41" s="6"/>
      <c r="B41" s="33" t="s">
        <v>25</v>
      </c>
      <c r="C41" s="141">
        <v>0.11</v>
      </c>
      <c r="D41" s="6"/>
      <c r="E41" s="6" t="s">
        <v>878</v>
      </c>
      <c r="F41" s="6"/>
      <c r="H41" s="6"/>
      <c r="K41" s="6" t="s">
        <v>344</v>
      </c>
      <c r="O41" s="159" t="s">
        <v>447</v>
      </c>
      <c r="P41" s="158" t="s">
        <v>372</v>
      </c>
      <c r="Q41" s="158"/>
      <c r="R41" s="158" t="str">
        <f>LEFT(Measures_All[[#This Row],[All Valid Measures]],2)</f>
        <v>HV</v>
      </c>
      <c r="S41" s="158" t="str">
        <f>RIGHT(Measures_All[[#This Row],[All Valid Measures]],4)</f>
        <v>AC15</v>
      </c>
      <c r="T41" t="s">
        <v>25</v>
      </c>
      <c r="U41" t="s">
        <v>259</v>
      </c>
      <c r="W41" s="6" t="s">
        <v>712</v>
      </c>
      <c r="AA41" s="591"/>
      <c r="AB41" s="235" t="s">
        <v>267</v>
      </c>
      <c r="AC41" s="236" t="s">
        <v>528</v>
      </c>
      <c r="AD41" s="237" t="s">
        <v>210</v>
      </c>
      <c r="AE41" s="6" t="s">
        <v>679</v>
      </c>
      <c r="AF41" s="6" t="s">
        <v>679</v>
      </c>
      <c r="AH41" s="6"/>
      <c r="AI41" s="6"/>
      <c r="AJ41" s="6"/>
      <c r="AK41" s="6"/>
      <c r="AS41" s="6"/>
    </row>
    <row r="42" spans="1:45" s="7" customFormat="1" ht="15" customHeight="1" x14ac:dyDescent="0.25">
      <c r="A42" s="6"/>
      <c r="B42" s="6"/>
      <c r="C42" s="71"/>
      <c r="D42" s="6"/>
      <c r="E42" s="6" t="s">
        <v>880</v>
      </c>
      <c r="F42" s="6"/>
      <c r="H42" s="6"/>
      <c r="I42" s="6"/>
      <c r="K42" s="148" t="s">
        <v>430</v>
      </c>
      <c r="O42" s="159" t="s">
        <v>448</v>
      </c>
      <c r="P42" s="158" t="s">
        <v>372</v>
      </c>
      <c r="Q42" s="158"/>
      <c r="R42" s="158" t="str">
        <f>LEFT(Measures_All[[#This Row],[All Valid Measures]],2)</f>
        <v>HV</v>
      </c>
      <c r="S42" s="158" t="str">
        <f>RIGHT(Measures_All[[#This Row],[All Valid Measures]],4)</f>
        <v>AC16</v>
      </c>
      <c r="T42" t="s">
        <v>25</v>
      </c>
      <c r="U42" t="s">
        <v>259</v>
      </c>
      <c r="W42" s="6" t="s">
        <v>555</v>
      </c>
      <c r="AA42" s="591"/>
      <c r="AB42" s="235" t="s">
        <v>267</v>
      </c>
      <c r="AC42" s="236" t="s">
        <v>528</v>
      </c>
      <c r="AD42" s="237" t="s">
        <v>639</v>
      </c>
      <c r="AE42" s="6" t="s">
        <v>679</v>
      </c>
      <c r="AF42" s="6" t="s">
        <v>679</v>
      </c>
      <c r="AH42" s="6"/>
      <c r="AI42" s="6"/>
      <c r="AJ42" s="6"/>
      <c r="AK42" s="6"/>
      <c r="AS42" s="6"/>
    </row>
    <row r="43" spans="1:45" s="7" customFormat="1" x14ac:dyDescent="0.25">
      <c r="A43" s="6"/>
      <c r="B43" s="6" t="s">
        <v>768</v>
      </c>
      <c r="C43" s="71" t="s">
        <v>444</v>
      </c>
      <c r="D43" s="6"/>
      <c r="E43" s="6" t="s">
        <v>881</v>
      </c>
      <c r="F43" s="6"/>
      <c r="G43" s="6"/>
      <c r="H43" s="6"/>
      <c r="I43" s="6"/>
      <c r="K43" s="149" t="s">
        <v>434</v>
      </c>
      <c r="O43" s="159" t="s">
        <v>449</v>
      </c>
      <c r="P43" s="158" t="s">
        <v>372</v>
      </c>
      <c r="Q43" s="158"/>
      <c r="R43" s="158" t="str">
        <f>LEFT(Measures_All[[#This Row],[All Valid Measures]],2)</f>
        <v>HV</v>
      </c>
      <c r="S43" s="158" t="str">
        <f>RIGHT(Measures_All[[#This Row],[All Valid Measures]],4)</f>
        <v>AC17</v>
      </c>
      <c r="T43" t="s">
        <v>25</v>
      </c>
      <c r="U43" t="s">
        <v>259</v>
      </c>
      <c r="W43" s="6" t="s">
        <v>723</v>
      </c>
      <c r="AA43" s="591"/>
      <c r="AB43" s="235" t="s">
        <v>267</v>
      </c>
      <c r="AC43" s="236" t="s">
        <v>269</v>
      </c>
      <c r="AD43" s="237" t="s">
        <v>528</v>
      </c>
      <c r="AE43" s="6" t="s">
        <v>528</v>
      </c>
      <c r="AF43" s="6" t="s">
        <v>677</v>
      </c>
      <c r="AH43" s="6"/>
      <c r="AI43" s="6"/>
      <c r="AJ43" s="6"/>
      <c r="AK43" s="6"/>
      <c r="AS43" s="6"/>
    </row>
    <row r="44" spans="1:45" x14ac:dyDescent="0.25">
      <c r="B44" s="6" t="s">
        <v>769</v>
      </c>
      <c r="C44" s="354">
        <v>0.2</v>
      </c>
      <c r="K44" s="148" t="s">
        <v>438</v>
      </c>
      <c r="M44" s="7"/>
      <c r="O44" s="159" t="s">
        <v>450</v>
      </c>
      <c r="P44" s="158" t="s">
        <v>372</v>
      </c>
      <c r="Q44" s="158"/>
      <c r="R44" s="158" t="str">
        <f>LEFT(Measures_All[[#This Row],[All Valid Measures]],2)</f>
        <v>HV</v>
      </c>
      <c r="S44" s="158" t="str">
        <f>RIGHT(Measures_All[[#This Row],[All Valid Measures]],4)</f>
        <v>AC18</v>
      </c>
      <c r="T44" t="s">
        <v>25</v>
      </c>
      <c r="U44" t="s">
        <v>259</v>
      </c>
      <c r="W44" s="6" t="s">
        <v>556</v>
      </c>
      <c r="AA44" s="591"/>
      <c r="AB44" s="235" t="s">
        <v>267</v>
      </c>
      <c r="AC44" s="236" t="s">
        <v>269</v>
      </c>
      <c r="AD44" s="237" t="s">
        <v>269</v>
      </c>
      <c r="AE44" s="6" t="s">
        <v>760</v>
      </c>
      <c r="AF44" s="6" t="s">
        <v>757</v>
      </c>
      <c r="AG44" s="7"/>
      <c r="AL44" s="7"/>
    </row>
    <row r="45" spans="1:45" x14ac:dyDescent="0.25">
      <c r="B45" s="6" t="s">
        <v>770</v>
      </c>
      <c r="C45" s="354">
        <v>0.05</v>
      </c>
      <c r="K45" s="149" t="s">
        <v>352</v>
      </c>
      <c r="M45" s="7"/>
      <c r="O45" s="158" t="s">
        <v>451</v>
      </c>
      <c r="P45" s="158" t="s">
        <v>265</v>
      </c>
      <c r="Q45" s="158"/>
      <c r="R45" s="158" t="str">
        <f>LEFT(Measures_All[[#This Row],[All Valid Measures]],2)</f>
        <v>HV</v>
      </c>
      <c r="S45" s="158" t="str">
        <f>RIGHT(Measures_All[[#This Row],[All Valid Measures]],4)</f>
        <v>ALRT</v>
      </c>
      <c r="T45" t="s">
        <v>259</v>
      </c>
      <c r="U45" t="s">
        <v>259</v>
      </c>
      <c r="W45" s="6" t="s">
        <v>557</v>
      </c>
      <c r="AA45" s="591"/>
      <c r="AB45" s="235" t="s">
        <v>267</v>
      </c>
      <c r="AC45" s="236" t="s">
        <v>269</v>
      </c>
      <c r="AD45" s="237" t="s">
        <v>210</v>
      </c>
      <c r="AE45" s="6" t="s">
        <v>679</v>
      </c>
      <c r="AF45" s="6" t="s">
        <v>679</v>
      </c>
    </row>
    <row r="46" spans="1:45" x14ac:dyDescent="0.25">
      <c r="K46" s="6" t="s">
        <v>135</v>
      </c>
      <c r="O46" s="158" t="s">
        <v>452</v>
      </c>
      <c r="P46" s="158" t="s">
        <v>363</v>
      </c>
      <c r="Q46" s="158"/>
      <c r="R46" s="158" t="str">
        <f>LEFT(Measures_All[[#This Row],[All Valid Measures]],2)</f>
        <v>HV</v>
      </c>
      <c r="S46" s="158" t="str">
        <f>RIGHT(Measures_All[[#This Row],[All Valid Measures]],4)</f>
        <v>CACS</v>
      </c>
      <c r="T46" t="s">
        <v>25</v>
      </c>
      <c r="U46" t="s">
        <v>259</v>
      </c>
      <c r="W46" s="6" t="s">
        <v>558</v>
      </c>
      <c r="AA46" s="591"/>
      <c r="AB46" s="235" t="s">
        <v>267</v>
      </c>
      <c r="AC46" s="236" t="s">
        <v>269</v>
      </c>
      <c r="AD46" s="237" t="s">
        <v>639</v>
      </c>
      <c r="AE46" s="6" t="s">
        <v>679</v>
      </c>
      <c r="AF46" s="6" t="s">
        <v>679</v>
      </c>
    </row>
    <row r="47" spans="1:45" x14ac:dyDescent="0.25">
      <c r="K47" s="6" t="s">
        <v>445</v>
      </c>
      <c r="O47" s="158" t="s">
        <v>453</v>
      </c>
      <c r="P47" s="158" t="s">
        <v>363</v>
      </c>
      <c r="Q47" s="158"/>
      <c r="R47" s="158" t="str">
        <f>LEFT(Measures_All[[#This Row],[All Valid Measures]],2)</f>
        <v>HV</v>
      </c>
      <c r="S47" s="158" t="str">
        <f>RIGHT(Measures_All[[#This Row],[All Valid Measures]],4)</f>
        <v>CHAC</v>
      </c>
      <c r="T47" t="s">
        <v>259</v>
      </c>
      <c r="U47" t="s">
        <v>259</v>
      </c>
      <c r="W47" s="6" t="s">
        <v>559</v>
      </c>
      <c r="AA47" s="591"/>
      <c r="AB47" s="235" t="s">
        <v>267</v>
      </c>
      <c r="AC47" s="236" t="s">
        <v>210</v>
      </c>
      <c r="AD47" s="237" t="s">
        <v>528</v>
      </c>
      <c r="AE47" s="6" t="s">
        <v>528</v>
      </c>
      <c r="AF47" s="6" t="s">
        <v>677</v>
      </c>
    </row>
    <row r="48" spans="1:45" x14ac:dyDescent="0.25">
      <c r="K48" s="6" t="s">
        <v>369</v>
      </c>
      <c r="O48" s="158" t="s">
        <v>454</v>
      </c>
      <c r="P48" s="158" t="s">
        <v>265</v>
      </c>
      <c r="Q48" s="158"/>
      <c r="R48" s="158" t="str">
        <f>LEFT(Measures_All[[#This Row],[All Valid Measures]],2)</f>
        <v>HV</v>
      </c>
      <c r="S48" s="158" t="str">
        <f>RIGHT(Measures_All[[#This Row],[All Valid Measures]],4)</f>
        <v>CTRL</v>
      </c>
      <c r="T48" t="s">
        <v>25</v>
      </c>
      <c r="U48" t="s">
        <v>259</v>
      </c>
      <c r="W48" s="6" t="s">
        <v>560</v>
      </c>
      <c r="AA48" s="591"/>
      <c r="AB48" s="235" t="s">
        <v>267</v>
      </c>
      <c r="AC48" s="236" t="s">
        <v>210</v>
      </c>
      <c r="AD48" s="237" t="s">
        <v>269</v>
      </c>
      <c r="AE48" s="6" t="s">
        <v>679</v>
      </c>
      <c r="AF48" s="6" t="s">
        <v>679</v>
      </c>
    </row>
    <row r="49" spans="11:32" x14ac:dyDescent="0.25">
      <c r="O49" s="159" t="s">
        <v>455</v>
      </c>
      <c r="P49" s="158" t="s">
        <v>372</v>
      </c>
      <c r="Q49" s="158"/>
      <c r="R49" s="158" t="str">
        <f>LEFT(Measures_All[[#This Row],[All Valid Measures]],2)</f>
        <v>HV</v>
      </c>
      <c r="S49" s="158" t="str">
        <f>RIGHT(Measures_All[[#This Row],[All Valid Measures]],4)</f>
        <v>DIR6</v>
      </c>
      <c r="T49" t="s">
        <v>259</v>
      </c>
      <c r="U49" t="s">
        <v>259</v>
      </c>
      <c r="W49" s="6" t="s">
        <v>561</v>
      </c>
      <c r="AA49" s="591"/>
      <c r="AB49" s="235" t="s">
        <v>267</v>
      </c>
      <c r="AC49" s="236" t="s">
        <v>210</v>
      </c>
      <c r="AD49" s="237" t="s">
        <v>210</v>
      </c>
      <c r="AE49" s="6" t="s">
        <v>679</v>
      </c>
      <c r="AF49" s="6" t="s">
        <v>679</v>
      </c>
    </row>
    <row r="50" spans="11:32" x14ac:dyDescent="0.25">
      <c r="K50" s="6" t="s">
        <v>602</v>
      </c>
      <c r="O50" s="159" t="s">
        <v>456</v>
      </c>
      <c r="P50" s="158" t="s">
        <v>372</v>
      </c>
      <c r="Q50" s="158"/>
      <c r="R50" s="158" t="str">
        <f>LEFT(Measures_All[[#This Row],[All Valid Measures]],2)</f>
        <v>HV</v>
      </c>
      <c r="S50" s="158" t="str">
        <f>RIGHT(Measures_All[[#This Row],[All Valid Measures]],4)</f>
        <v>DIR8</v>
      </c>
      <c r="T50" t="s">
        <v>259</v>
      </c>
      <c r="U50" t="s">
        <v>259</v>
      </c>
      <c r="W50" s="6" t="s">
        <v>562</v>
      </c>
      <c r="AA50" s="591"/>
      <c r="AB50" s="235" t="s">
        <v>267</v>
      </c>
      <c r="AC50" s="236" t="s">
        <v>210</v>
      </c>
      <c r="AD50" s="237" t="s">
        <v>639</v>
      </c>
      <c r="AE50" s="6" t="s">
        <v>679</v>
      </c>
      <c r="AF50" s="6" t="s">
        <v>679</v>
      </c>
    </row>
    <row r="51" spans="11:32" x14ac:dyDescent="0.25">
      <c r="K51" s="7" t="s">
        <v>136</v>
      </c>
      <c r="O51" s="158" t="s">
        <v>457</v>
      </c>
      <c r="P51" s="158" t="s">
        <v>363</v>
      </c>
      <c r="Q51" s="158"/>
      <c r="R51" s="158" t="str">
        <f>LEFT(Measures_All[[#This Row],[All Valid Measures]],2)</f>
        <v>HV</v>
      </c>
      <c r="S51" s="158" t="str">
        <f>RIGHT(Measures_All[[#This Row],[All Valid Measures]],4)</f>
        <v>DUCI</v>
      </c>
      <c r="T51" t="s">
        <v>259</v>
      </c>
      <c r="U51" t="s">
        <v>259</v>
      </c>
      <c r="W51" s="6" t="s">
        <v>563</v>
      </c>
      <c r="AA51" s="591"/>
      <c r="AB51" s="235" t="s">
        <v>267</v>
      </c>
      <c r="AC51" s="236" t="s">
        <v>639</v>
      </c>
      <c r="AD51" s="237" t="s">
        <v>528</v>
      </c>
      <c r="AE51" s="6" t="s">
        <v>528</v>
      </c>
      <c r="AF51" s="6" t="s">
        <v>677</v>
      </c>
    </row>
    <row r="52" spans="11:32" x14ac:dyDescent="0.25">
      <c r="K52" s="7" t="s">
        <v>334</v>
      </c>
      <c r="O52" s="157" t="s">
        <v>458</v>
      </c>
      <c r="P52" s="158" t="s">
        <v>372</v>
      </c>
      <c r="Q52" s="158" t="s">
        <v>914</v>
      </c>
      <c r="R52" s="158" t="str">
        <f>LEFT(Measures_All[[#This Row],[All Valid Measures]],2)</f>
        <v>HV</v>
      </c>
      <c r="S52" s="158" t="str">
        <f>RIGHT(Measures_All[[#This Row],[All Valid Measures]],4)</f>
        <v>DUCR</v>
      </c>
      <c r="T52" t="s">
        <v>259</v>
      </c>
      <c r="U52" t="s">
        <v>259</v>
      </c>
      <c r="W52" s="6" t="s">
        <v>564</v>
      </c>
      <c r="AA52" s="591"/>
      <c r="AB52" s="235" t="s">
        <v>267</v>
      </c>
      <c r="AC52" s="236" t="s">
        <v>639</v>
      </c>
      <c r="AD52" s="237" t="s">
        <v>269</v>
      </c>
      <c r="AE52" s="6" t="s">
        <v>679</v>
      </c>
      <c r="AF52" s="6" t="s">
        <v>679</v>
      </c>
    </row>
    <row r="53" spans="11:32" x14ac:dyDescent="0.25">
      <c r="K53" s="7" t="s">
        <v>392</v>
      </c>
      <c r="O53" s="158" t="s">
        <v>459</v>
      </c>
      <c r="P53" s="158" t="s">
        <v>265</v>
      </c>
      <c r="Q53" s="158"/>
      <c r="R53" s="158" t="str">
        <f>LEFT(Measures_All[[#This Row],[All Valid Measures]],2)</f>
        <v>HV</v>
      </c>
      <c r="S53" s="158" t="str">
        <f>RIGHT(Measures_All[[#This Row],[All Valid Measures]],4)</f>
        <v>DUCT</v>
      </c>
      <c r="T53" t="s">
        <v>259</v>
      </c>
      <c r="U53" t="s">
        <v>259</v>
      </c>
      <c r="W53" s="6" t="s">
        <v>565</v>
      </c>
      <c r="AA53" s="591"/>
      <c r="AB53" s="235" t="s">
        <v>267</v>
      </c>
      <c r="AC53" s="236" t="s">
        <v>639</v>
      </c>
      <c r="AD53" s="237" t="s">
        <v>210</v>
      </c>
      <c r="AE53" s="6" t="s">
        <v>679</v>
      </c>
      <c r="AF53" s="6" t="s">
        <v>679</v>
      </c>
    </row>
    <row r="54" spans="11:32" x14ac:dyDescent="0.25">
      <c r="K54" s="7" t="s">
        <v>344</v>
      </c>
      <c r="O54" s="157" t="s">
        <v>460</v>
      </c>
      <c r="R54" s="157" t="str">
        <f>LEFT(Measures_All[[#This Row],[All Valid Measures]],2)</f>
        <v>HV</v>
      </c>
      <c r="S54" s="157" t="str">
        <f>RIGHT(Measures_All[[#This Row],[All Valid Measures]],4)</f>
        <v>DUCX</v>
      </c>
      <c r="T54" t="s">
        <v>259</v>
      </c>
      <c r="U54" t="s">
        <v>259</v>
      </c>
      <c r="W54" s="6" t="s">
        <v>566</v>
      </c>
      <c r="AA54" s="591"/>
      <c r="AB54" s="239" t="s">
        <v>267</v>
      </c>
      <c r="AC54" s="236" t="s">
        <v>639</v>
      </c>
      <c r="AD54" s="237" t="s">
        <v>639</v>
      </c>
      <c r="AE54" s="6" t="s">
        <v>679</v>
      </c>
      <c r="AF54" s="6" t="s">
        <v>679</v>
      </c>
    </row>
    <row r="55" spans="11:32" x14ac:dyDescent="0.25">
      <c r="K55" s="7"/>
      <c r="O55" s="159" t="s">
        <v>461</v>
      </c>
      <c r="P55" s="159" t="s">
        <v>363</v>
      </c>
      <c r="Q55" s="159" t="s">
        <v>720</v>
      </c>
      <c r="R55" s="159" t="str">
        <f>LEFT(Measures_All[[#This Row],[All Valid Measures]],2)</f>
        <v>HV</v>
      </c>
      <c r="S55" s="159" t="str">
        <f>RIGHT(Measures_All[[#This Row],[All Valid Measures]],4)</f>
        <v>EVAP</v>
      </c>
      <c r="T55" s="266" t="s">
        <v>25</v>
      </c>
      <c r="U55" s="266" t="s">
        <v>259</v>
      </c>
      <c r="W55" s="6" t="s">
        <v>567</v>
      </c>
    </row>
    <row r="56" spans="11:32" x14ac:dyDescent="0.25">
      <c r="K56" s="7" t="s">
        <v>603</v>
      </c>
      <c r="O56" s="157" t="s">
        <v>721</v>
      </c>
      <c r="P56" s="158" t="s">
        <v>722</v>
      </c>
      <c r="Q56" s="158"/>
      <c r="R56" s="158" t="str">
        <f>LEFT(Measures_All[[#This Row],[All Valid Measures]],2)</f>
        <v>HV</v>
      </c>
      <c r="S56" s="158" t="str">
        <f>RIGHT(Measures_All[[#This Row],[All Valid Measures]],4)</f>
        <v>WCFA</v>
      </c>
      <c r="T56" t="s">
        <v>25</v>
      </c>
      <c r="U56" t="s">
        <v>259</v>
      </c>
      <c r="W56" s="6" t="s">
        <v>568</v>
      </c>
    </row>
    <row r="57" spans="11:32" x14ac:dyDescent="0.25">
      <c r="K57" s="6" t="s">
        <v>211</v>
      </c>
      <c r="O57" s="159" t="s">
        <v>462</v>
      </c>
      <c r="P57" s="158" t="s">
        <v>372</v>
      </c>
      <c r="Q57" s="158"/>
      <c r="R57" s="158" t="str">
        <f>LEFT(Measures_All[[#This Row],[All Valid Measures]],2)</f>
        <v>HV</v>
      </c>
      <c r="S57" s="158" t="str">
        <f>RIGHT(Measures_All[[#This Row],[All Valid Measures]],4)</f>
        <v>EVPD</v>
      </c>
      <c r="T57" t="s">
        <v>25</v>
      </c>
      <c r="U57" t="s">
        <v>259</v>
      </c>
    </row>
    <row r="58" spans="11:32" x14ac:dyDescent="0.25">
      <c r="K58" s="6" t="s">
        <v>212</v>
      </c>
      <c r="O58" s="159" t="s">
        <v>463</v>
      </c>
      <c r="P58" s="158" t="s">
        <v>372</v>
      </c>
      <c r="Q58" s="158"/>
      <c r="R58" s="158" t="str">
        <f>LEFT(Measures_All[[#This Row],[All Valid Measures]],2)</f>
        <v>HV</v>
      </c>
      <c r="S58" s="158" t="str">
        <f>RIGHT(Measures_All[[#This Row],[All Valid Measures]],4)</f>
        <v>EVPM</v>
      </c>
      <c r="T58" t="s">
        <v>25</v>
      </c>
      <c r="U58" t="s">
        <v>259</v>
      </c>
    </row>
    <row r="59" spans="11:32" x14ac:dyDescent="0.25">
      <c r="K59" s="6" t="s">
        <v>211</v>
      </c>
      <c r="O59" s="159" t="s">
        <v>464</v>
      </c>
      <c r="P59" s="158" t="s">
        <v>372</v>
      </c>
      <c r="Q59" s="158"/>
      <c r="R59" s="158" t="str">
        <f>LEFT(Measures_All[[#This Row],[All Valid Measures]],2)</f>
        <v>HV</v>
      </c>
      <c r="S59" s="158" t="str">
        <f>RIGHT(Measures_All[[#This Row],[All Valid Measures]],4)</f>
        <v>EVPW</v>
      </c>
      <c r="T59" t="s">
        <v>25</v>
      </c>
      <c r="U59" t="s">
        <v>259</v>
      </c>
      <c r="W59" s="6" t="s">
        <v>18</v>
      </c>
    </row>
    <row r="60" spans="11:32" x14ac:dyDescent="0.25">
      <c r="K60" s="6" t="s">
        <v>583</v>
      </c>
      <c r="O60" s="158" t="s">
        <v>465</v>
      </c>
      <c r="P60" s="158" t="s">
        <v>265</v>
      </c>
      <c r="Q60" s="158"/>
      <c r="R60" s="158" t="str">
        <f>LEFT(Measures_All[[#This Row],[All Valid Measures]],2)</f>
        <v>HV</v>
      </c>
      <c r="S60" s="158" t="str">
        <f>RIGHT(Measures_All[[#This Row],[All Valid Measures]],4)</f>
        <v>FALR</v>
      </c>
      <c r="T60" t="s">
        <v>259</v>
      </c>
      <c r="U60" t="s">
        <v>259</v>
      </c>
      <c r="W60" s="6" t="s">
        <v>19</v>
      </c>
    </row>
    <row r="61" spans="11:32" x14ac:dyDescent="0.25">
      <c r="K61" s="6" t="s">
        <v>352</v>
      </c>
      <c r="O61" s="157" t="s">
        <v>466</v>
      </c>
      <c r="R61" s="157" t="str">
        <f>LEFT(Measures_All[[#This Row],[All Valid Measures]],2)</f>
        <v>HV</v>
      </c>
      <c r="S61" s="157" t="str">
        <f>RIGHT(Measures_All[[#This Row],[All Valid Measures]],4)</f>
        <v>FANT</v>
      </c>
      <c r="T61" t="s">
        <v>259</v>
      </c>
      <c r="U61" t="s">
        <v>25</v>
      </c>
      <c r="W61" s="6" t="s">
        <v>569</v>
      </c>
    </row>
    <row r="62" spans="11:32" x14ac:dyDescent="0.25">
      <c r="K62" s="6" t="s">
        <v>584</v>
      </c>
      <c r="O62" s="158" t="s">
        <v>467</v>
      </c>
      <c r="P62" s="158" t="s">
        <v>265</v>
      </c>
      <c r="Q62" s="158"/>
      <c r="R62" s="158" t="str">
        <f>LEFT(Measures_All[[#This Row],[All Valid Measures]],2)</f>
        <v>HV</v>
      </c>
      <c r="S62" s="158" t="str">
        <f>RIGHT(Measures_All[[#This Row],[All Valid Measures]],4)</f>
        <v>FECM</v>
      </c>
      <c r="T62" t="s">
        <v>25</v>
      </c>
      <c r="U62" t="s">
        <v>259</v>
      </c>
    </row>
    <row r="63" spans="11:32" x14ac:dyDescent="0.25">
      <c r="K63" s="6" t="s">
        <v>135</v>
      </c>
      <c r="O63" s="159" t="s">
        <v>468</v>
      </c>
      <c r="P63" s="158" t="s">
        <v>372</v>
      </c>
      <c r="Q63" s="158"/>
      <c r="R63" s="158" t="str">
        <f>LEFT(Measures_All[[#This Row],[All Valid Measures]],2)</f>
        <v>HV</v>
      </c>
      <c r="S63" s="158" t="str">
        <f>RIGHT(Measures_All[[#This Row],[All Valid Measures]],4)</f>
        <v>FR80</v>
      </c>
      <c r="T63" t="s">
        <v>259</v>
      </c>
      <c r="U63" t="s">
        <v>25</v>
      </c>
      <c r="AB63" s="7"/>
    </row>
    <row r="64" spans="11:32" x14ac:dyDescent="0.25">
      <c r="K64" s="6" t="s">
        <v>585</v>
      </c>
      <c r="O64" s="159" t="s">
        <v>469</v>
      </c>
      <c r="P64" s="158" t="s">
        <v>372</v>
      </c>
      <c r="Q64" s="158"/>
      <c r="R64" s="158" t="str">
        <f>LEFT(Measures_All[[#This Row],[All Valid Measures]],2)</f>
        <v>HV</v>
      </c>
      <c r="S64" s="158" t="str">
        <f>RIGHT(Measures_All[[#This Row],[All Valid Measures]],4)</f>
        <v>FR90</v>
      </c>
      <c r="T64" t="s">
        <v>259</v>
      </c>
      <c r="U64" t="s">
        <v>25</v>
      </c>
      <c r="W64" s="6" t="s">
        <v>324</v>
      </c>
      <c r="AB64" s="7"/>
    </row>
    <row r="65" spans="11:28" x14ac:dyDescent="0.25">
      <c r="K65" s="6" t="s">
        <v>662</v>
      </c>
      <c r="O65" s="159" t="s">
        <v>470</v>
      </c>
      <c r="P65" s="158" t="s">
        <v>372</v>
      </c>
      <c r="Q65" s="158"/>
      <c r="R65" s="158" t="str">
        <f>LEFT(Measures_All[[#This Row],[All Valid Measures]],2)</f>
        <v>HV</v>
      </c>
      <c r="S65" s="158" t="str">
        <f>RIGHT(Measures_All[[#This Row],[All Valid Measures]],4)</f>
        <v>FR94</v>
      </c>
      <c r="T65" t="s">
        <v>259</v>
      </c>
      <c r="U65" t="s">
        <v>25</v>
      </c>
      <c r="W65" s="6" t="s">
        <v>570</v>
      </c>
      <c r="AB65" s="7"/>
    </row>
    <row r="66" spans="11:28" x14ac:dyDescent="0.25">
      <c r="K66" s="6" t="s">
        <v>661</v>
      </c>
      <c r="O66" s="159" t="s">
        <v>471</v>
      </c>
      <c r="P66" s="158" t="s">
        <v>372</v>
      </c>
      <c r="Q66" s="158"/>
      <c r="R66" s="158" t="str">
        <f>LEFT(Measures_All[[#This Row],[All Valid Measures]],2)</f>
        <v>HV</v>
      </c>
      <c r="S66" s="158" t="str">
        <f>RIGHT(Measures_All[[#This Row],[All Valid Measures]],4)</f>
        <v>FR96</v>
      </c>
      <c r="T66" t="s">
        <v>259</v>
      </c>
      <c r="U66" t="s">
        <v>25</v>
      </c>
      <c r="W66" s="6" t="s">
        <v>571</v>
      </c>
      <c r="AA66" s="7"/>
      <c r="AB66" s="7"/>
    </row>
    <row r="67" spans="11:28" x14ac:dyDescent="0.25">
      <c r="K67" s="6" t="s">
        <v>663</v>
      </c>
      <c r="O67" s="158" t="s">
        <v>472</v>
      </c>
      <c r="P67" s="158" t="s">
        <v>363</v>
      </c>
      <c r="Q67" s="158"/>
      <c r="R67" s="158" t="str">
        <f>LEFT(Measures_All[[#This Row],[All Valid Measures]],2)</f>
        <v>HV</v>
      </c>
      <c r="S67" s="158" t="str">
        <f>RIGHT(Measures_All[[#This Row],[All Valid Measures]],4)</f>
        <v>FURR</v>
      </c>
      <c r="T67" t="s">
        <v>259</v>
      </c>
      <c r="U67" t="s">
        <v>25</v>
      </c>
      <c r="W67" s="6" t="s">
        <v>794</v>
      </c>
      <c r="AA67" s="7"/>
      <c r="AB67" s="7"/>
    </row>
    <row r="68" spans="11:28" x14ac:dyDescent="0.25">
      <c r="O68" s="159" t="s">
        <v>473</v>
      </c>
      <c r="P68" s="158" t="s">
        <v>372</v>
      </c>
      <c r="Q68" s="158"/>
      <c r="R68" s="158" t="str">
        <f>LEFT(Measures_All[[#This Row],[All Valid Measures]],2)</f>
        <v>HV</v>
      </c>
      <c r="S68" s="158" t="str">
        <f>RIGHT(Measures_All[[#This Row],[All Valid Measures]],4)</f>
        <v>GRAV</v>
      </c>
      <c r="T68" t="s">
        <v>259</v>
      </c>
      <c r="U68" t="s">
        <v>25</v>
      </c>
      <c r="AA68" s="7"/>
      <c r="AB68" s="7"/>
    </row>
    <row r="69" spans="11:28" x14ac:dyDescent="0.25">
      <c r="K69" s="6" t="s">
        <v>675</v>
      </c>
      <c r="O69" s="157" t="s">
        <v>474</v>
      </c>
      <c r="R69" s="157" t="str">
        <f>LEFT(Measures_All[[#This Row],[All Valid Measures]],2)</f>
        <v>HV</v>
      </c>
      <c r="S69" s="157" t="str">
        <f>RIGHT(Measures_All[[#This Row],[All Valid Measures]],4)</f>
        <v>HFAN</v>
      </c>
      <c r="T69" t="s">
        <v>25</v>
      </c>
      <c r="U69" t="s">
        <v>259</v>
      </c>
      <c r="W69" s="6" t="s">
        <v>308</v>
      </c>
      <c r="AA69" s="7"/>
    </row>
    <row r="70" spans="11:28" x14ac:dyDescent="0.25">
      <c r="K70" s="6" t="s">
        <v>586</v>
      </c>
      <c r="O70" s="159" t="s">
        <v>475</v>
      </c>
      <c r="P70" s="158" t="s">
        <v>372</v>
      </c>
      <c r="Q70" s="158"/>
      <c r="R70" s="158" t="str">
        <f>LEFT(Measures_All[[#This Row],[All Valid Measures]],2)</f>
        <v>HV</v>
      </c>
      <c r="S70" s="158" t="str">
        <f>RIGHT(Measures_All[[#This Row],[All Valid Measures]],4)</f>
        <v>HP14</v>
      </c>
      <c r="T70" t="s">
        <v>25</v>
      </c>
      <c r="U70" t="s">
        <v>259</v>
      </c>
      <c r="W70" s="6" t="s">
        <v>572</v>
      </c>
      <c r="AA70" s="7"/>
    </row>
    <row r="71" spans="11:28" x14ac:dyDescent="0.25">
      <c r="O71" s="159" t="s">
        <v>476</v>
      </c>
      <c r="P71" s="158" t="s">
        <v>372</v>
      </c>
      <c r="Q71" s="158"/>
      <c r="R71" s="158" t="str">
        <f>LEFT(Measures_All[[#This Row],[All Valid Measures]],2)</f>
        <v>HV</v>
      </c>
      <c r="S71" s="158" t="str">
        <f>RIGHT(Measures_All[[#This Row],[All Valid Measures]],4)</f>
        <v>HP15</v>
      </c>
      <c r="T71" t="s">
        <v>25</v>
      </c>
      <c r="U71" t="s">
        <v>259</v>
      </c>
      <c r="W71" s="6" t="s">
        <v>573</v>
      </c>
      <c r="AA71" s="7"/>
    </row>
    <row r="72" spans="11:28" x14ac:dyDescent="0.25">
      <c r="O72" s="159" t="s">
        <v>477</v>
      </c>
      <c r="P72" s="158" t="s">
        <v>372</v>
      </c>
      <c r="Q72" s="158"/>
      <c r="R72" s="158" t="str">
        <f>LEFT(Measures_All[[#This Row],[All Valid Measures]],2)</f>
        <v>HV</v>
      </c>
      <c r="S72" s="158" t="str">
        <f>RIGHT(Measures_All[[#This Row],[All Valid Measures]],4)</f>
        <v>HP16</v>
      </c>
      <c r="T72" t="s">
        <v>25</v>
      </c>
      <c r="U72" t="s">
        <v>259</v>
      </c>
      <c r="W72" s="6" t="s">
        <v>574</v>
      </c>
    </row>
    <row r="73" spans="11:28" x14ac:dyDescent="0.25">
      <c r="O73" s="159" t="s">
        <v>478</v>
      </c>
      <c r="P73" s="158" t="s">
        <v>372</v>
      </c>
      <c r="Q73" s="158"/>
      <c r="R73" s="158" t="str">
        <f>LEFT(Measures_All[[#This Row],[All Valid Measures]],2)</f>
        <v>HV</v>
      </c>
      <c r="S73" s="158" t="str">
        <f>RIGHT(Measures_All[[#This Row],[All Valid Measures]],4)</f>
        <v>HP17</v>
      </c>
      <c r="T73" t="s">
        <v>25</v>
      </c>
      <c r="U73" t="s">
        <v>259</v>
      </c>
    </row>
    <row r="74" spans="11:28" x14ac:dyDescent="0.25">
      <c r="O74" s="159" t="s">
        <v>479</v>
      </c>
      <c r="P74" s="158" t="s">
        <v>372</v>
      </c>
      <c r="Q74" s="158"/>
      <c r="R74" s="158" t="str">
        <f>LEFT(Measures_All[[#This Row],[All Valid Measures]],2)</f>
        <v>HV</v>
      </c>
      <c r="S74" s="158" t="str">
        <f>RIGHT(Measures_All[[#This Row],[All Valid Measures]],4)</f>
        <v>HP18</v>
      </c>
      <c r="T74" t="s">
        <v>25</v>
      </c>
      <c r="U74" t="s">
        <v>259</v>
      </c>
    </row>
    <row r="75" spans="11:28" x14ac:dyDescent="0.25">
      <c r="O75" s="158" t="s">
        <v>480</v>
      </c>
      <c r="P75" s="158" t="s">
        <v>363</v>
      </c>
      <c r="Q75" s="158"/>
      <c r="R75" s="158" t="str">
        <f>LEFT(Measures_All[[#This Row],[All Valid Measures]],2)</f>
        <v>HV</v>
      </c>
      <c r="S75" s="158" t="str">
        <f>RIGHT(Measures_All[[#This Row],[All Valid Measures]],4)</f>
        <v>HPMP</v>
      </c>
      <c r="T75" t="s">
        <v>25</v>
      </c>
      <c r="U75" t="s">
        <v>259</v>
      </c>
      <c r="W75" s="6" t="s">
        <v>23</v>
      </c>
    </row>
    <row r="76" spans="11:28" x14ac:dyDescent="0.25">
      <c r="O76" s="157" t="s">
        <v>481</v>
      </c>
      <c r="R76" s="157" t="str">
        <f>LEFT(Measures_All[[#This Row],[All Valid Measures]],2)</f>
        <v>HV</v>
      </c>
      <c r="S76" s="157" t="str">
        <f>RIGHT(Measures_All[[#This Row],[All Valid Measures]],4)</f>
        <v>HYRA</v>
      </c>
      <c r="T76" t="s">
        <v>259</v>
      </c>
      <c r="U76" t="s">
        <v>259</v>
      </c>
      <c r="W76" s="6" t="s">
        <v>575</v>
      </c>
    </row>
    <row r="77" spans="11:28" x14ac:dyDescent="0.25">
      <c r="O77" s="158" t="s">
        <v>482</v>
      </c>
      <c r="P77" s="158" t="s">
        <v>265</v>
      </c>
      <c r="Q77" s="158"/>
      <c r="R77" s="158" t="str">
        <f>LEFT(Measures_All[[#This Row],[All Valid Measures]],2)</f>
        <v>HV</v>
      </c>
      <c r="S77" s="158" t="str">
        <f>RIGHT(Measures_All[[#This Row],[All Valid Measures]],4)</f>
        <v>MERV</v>
      </c>
      <c r="T77" t="s">
        <v>259</v>
      </c>
      <c r="U77" t="s">
        <v>259</v>
      </c>
      <c r="W77" s="6" t="s">
        <v>576</v>
      </c>
    </row>
    <row r="78" spans="11:28" x14ac:dyDescent="0.25">
      <c r="O78" s="157" t="s">
        <v>483</v>
      </c>
      <c r="P78" s="158"/>
      <c r="Q78" s="158"/>
      <c r="R78" s="158" t="str">
        <f>LEFT(Measures_All[[#This Row],[All Valid Measures]],2)</f>
        <v>HV</v>
      </c>
      <c r="S78" s="158" t="str">
        <f>RIGHT(Measures_All[[#This Row],[All Valid Measures]],4)</f>
        <v>MSHP</v>
      </c>
      <c r="T78" t="s">
        <v>25</v>
      </c>
      <c r="U78" t="s">
        <v>259</v>
      </c>
      <c r="W78" s="6" t="s">
        <v>577</v>
      </c>
    </row>
    <row r="79" spans="11:28" x14ac:dyDescent="0.25">
      <c r="O79" s="157" t="s">
        <v>484</v>
      </c>
      <c r="R79" s="157" t="str">
        <f>LEFT(Measures_All[[#This Row],[All Valid Measures]],2)</f>
        <v>HV</v>
      </c>
      <c r="S79" s="157" t="str">
        <f>RIGHT(Measures_All[[#This Row],[All Valid Measures]],4)</f>
        <v>MSPL</v>
      </c>
      <c r="T79" t="s">
        <v>25</v>
      </c>
      <c r="U79" t="s">
        <v>259</v>
      </c>
      <c r="W79" s="6" t="s">
        <v>24</v>
      </c>
    </row>
    <row r="80" spans="11:28" x14ac:dyDescent="0.25">
      <c r="O80" s="157" t="s">
        <v>485</v>
      </c>
      <c r="R80" s="157" t="str">
        <f>LEFT(Measures_All[[#This Row],[All Valid Measures]],2)</f>
        <v>HV</v>
      </c>
      <c r="S80" s="157" t="str">
        <f>RIGHT(Measures_All[[#This Row],[All Valid Measures]],4)</f>
        <v>SMRT</v>
      </c>
      <c r="T80" t="s">
        <v>259</v>
      </c>
      <c r="U80" t="s">
        <v>259</v>
      </c>
      <c r="W80" s="6" t="s">
        <v>578</v>
      </c>
    </row>
    <row r="81" spans="15:23" x14ac:dyDescent="0.25">
      <c r="O81" s="159" t="s">
        <v>486</v>
      </c>
      <c r="P81" s="158" t="s">
        <v>372</v>
      </c>
      <c r="Q81" s="158"/>
      <c r="R81" s="158" t="str">
        <f>LEFT(Measures_All[[#This Row],[All Valid Measures]],2)</f>
        <v>HV</v>
      </c>
      <c r="S81" s="158" t="str">
        <f>RIGHT(Measures_All[[#This Row],[All Valid Measures]],4)</f>
        <v>SP14</v>
      </c>
      <c r="T81" t="s">
        <v>259</v>
      </c>
      <c r="U81" t="s">
        <v>259</v>
      </c>
      <c r="W81" s="6" t="s">
        <v>579</v>
      </c>
    </row>
    <row r="82" spans="15:23" x14ac:dyDescent="0.25">
      <c r="O82" s="159" t="s">
        <v>487</v>
      </c>
      <c r="P82" s="158" t="s">
        <v>372</v>
      </c>
      <c r="Q82" s="158"/>
      <c r="R82" s="158" t="str">
        <f>LEFT(Measures_All[[#This Row],[All Valid Measures]],2)</f>
        <v>HV</v>
      </c>
      <c r="S82" s="158" t="str">
        <f>RIGHT(Measures_All[[#This Row],[All Valid Measures]],4)</f>
        <v>SP15</v>
      </c>
      <c r="T82" t="s">
        <v>259</v>
      </c>
      <c r="U82" t="s">
        <v>259</v>
      </c>
      <c r="W82" s="6" t="s">
        <v>580</v>
      </c>
    </row>
    <row r="83" spans="15:23" x14ac:dyDescent="0.25">
      <c r="O83" s="159" t="s">
        <v>488</v>
      </c>
      <c r="P83" s="158" t="s">
        <v>372</v>
      </c>
      <c r="Q83" s="158"/>
      <c r="R83" s="158" t="str">
        <f>LEFT(Measures_All[[#This Row],[All Valid Measures]],2)</f>
        <v>HV</v>
      </c>
      <c r="S83" s="158" t="str">
        <f>RIGHT(Measures_All[[#This Row],[All Valid Measures]],4)</f>
        <v>SP16</v>
      </c>
      <c r="T83" t="s">
        <v>259</v>
      </c>
      <c r="U83" t="s">
        <v>259</v>
      </c>
      <c r="W83" s="6" t="s">
        <v>780</v>
      </c>
    </row>
    <row r="84" spans="15:23" x14ac:dyDescent="0.25">
      <c r="O84" s="159" t="s">
        <v>489</v>
      </c>
      <c r="P84" s="158" t="s">
        <v>372</v>
      </c>
      <c r="Q84" s="158"/>
      <c r="R84" s="158" t="str">
        <f>LEFT(Measures_All[[#This Row],[All Valid Measures]],2)</f>
        <v>HV</v>
      </c>
      <c r="S84" s="158" t="str">
        <f>RIGHT(Measures_All[[#This Row],[All Valid Measures]],4)</f>
        <v>SP17</v>
      </c>
      <c r="T84" t="s">
        <v>259</v>
      </c>
      <c r="U84" t="s">
        <v>259</v>
      </c>
      <c r="W84" s="6" t="s">
        <v>581</v>
      </c>
    </row>
    <row r="85" spans="15:23" x14ac:dyDescent="0.25">
      <c r="O85" s="159" t="s">
        <v>490</v>
      </c>
      <c r="P85" s="158" t="s">
        <v>372</v>
      </c>
      <c r="Q85" s="158"/>
      <c r="R85" s="158" t="str">
        <f>LEFT(Measures_All[[#This Row],[All Valid Measures]],2)</f>
        <v>HV</v>
      </c>
      <c r="S85" s="158" t="str">
        <f>RIGHT(Measures_All[[#This Row],[All Valid Measures]],4)</f>
        <v>SP18</v>
      </c>
      <c r="T85" t="s">
        <v>259</v>
      </c>
      <c r="U85" t="s">
        <v>259</v>
      </c>
      <c r="W85" s="6" t="s">
        <v>582</v>
      </c>
    </row>
    <row r="86" spans="15:23" x14ac:dyDescent="0.25">
      <c r="O86" s="158" t="s">
        <v>491</v>
      </c>
      <c r="P86" s="158" t="s">
        <v>265</v>
      </c>
      <c r="Q86" s="158"/>
      <c r="R86" s="158" t="str">
        <f>LEFT(Measures_All[[#This Row],[All Valid Measures]],2)</f>
        <v>HV</v>
      </c>
      <c r="S86" s="158" t="str">
        <f>RIGHT(Measures_All[[#This Row],[All Valid Measures]],4)</f>
        <v>TUNE</v>
      </c>
      <c r="T86" t="s">
        <v>259</v>
      </c>
      <c r="U86" t="s">
        <v>259</v>
      </c>
    </row>
    <row r="87" spans="15:23" x14ac:dyDescent="0.25">
      <c r="O87" s="158" t="s">
        <v>492</v>
      </c>
      <c r="P87" s="158" t="s">
        <v>265</v>
      </c>
      <c r="Q87" s="158"/>
      <c r="R87" s="158" t="str">
        <f>LEFT(Measures_All[[#This Row],[All Valid Measures]],2)</f>
        <v>HV</v>
      </c>
      <c r="S87" s="158" t="str">
        <f>RIGHT(Measures_All[[#This Row],[All Valid Measures]],4)</f>
        <v>VFEN</v>
      </c>
      <c r="T87" t="s">
        <v>25</v>
      </c>
      <c r="U87" t="s">
        <v>259</v>
      </c>
    </row>
    <row r="88" spans="15:23" x14ac:dyDescent="0.25">
      <c r="O88" s="158" t="s">
        <v>493</v>
      </c>
      <c r="P88" s="158" t="s">
        <v>363</v>
      </c>
      <c r="Q88" s="158"/>
      <c r="R88" s="158" t="str">
        <f>LEFT(Measures_All[[#This Row],[All Valid Measures]],2)</f>
        <v>LI</v>
      </c>
      <c r="S88" s="158" t="str">
        <f>RIGHT(Measures_All[[#This Row],[All Valid Measures]],4)</f>
        <v>LEDL</v>
      </c>
      <c r="T88" t="s">
        <v>25</v>
      </c>
      <c r="U88" t="s">
        <v>259</v>
      </c>
      <c r="W88" s="6" t="s">
        <v>792</v>
      </c>
    </row>
    <row r="89" spans="15:23" x14ac:dyDescent="0.25">
      <c r="O89" s="158" t="s">
        <v>494</v>
      </c>
      <c r="P89" s="158" t="s">
        <v>265</v>
      </c>
      <c r="Q89" s="158"/>
      <c r="R89" s="158" t="str">
        <f>LEFT(Measures_All[[#This Row],[All Valid Measures]],2)</f>
        <v>LI</v>
      </c>
      <c r="S89" s="158" t="str">
        <f>RIGHT(Measures_All[[#This Row],[All Valid Measures]],4)</f>
        <v>TAPE</v>
      </c>
      <c r="T89" t="s">
        <v>25</v>
      </c>
      <c r="U89" t="s">
        <v>259</v>
      </c>
      <c r="W89" s="360" t="s">
        <v>801</v>
      </c>
    </row>
    <row r="90" spans="15:23" x14ac:dyDescent="0.25">
      <c r="O90" s="159" t="s">
        <v>495</v>
      </c>
      <c r="P90" s="158" t="s">
        <v>496</v>
      </c>
      <c r="Q90" s="158"/>
      <c r="R90" s="158" t="str">
        <f>LEFT(Measures_All[[#This Row],[All Valid Measures]],2)</f>
        <v>LT</v>
      </c>
      <c r="S90" s="158" t="str">
        <f>RIGHT(Measures_All[[#This Row],[All Valid Measures]],4)</f>
        <v>LEDL</v>
      </c>
      <c r="T90" t="s">
        <v>25</v>
      </c>
      <c r="U90" t="s">
        <v>259</v>
      </c>
      <c r="W90" s="6" t="s">
        <v>800</v>
      </c>
    </row>
    <row r="91" spans="15:23" x14ac:dyDescent="0.25">
      <c r="O91" s="157" t="s">
        <v>497</v>
      </c>
      <c r="R91" s="157" t="str">
        <f>LEFT(Measures_All[[#This Row],[All Valid Measures]],2)</f>
        <v>OT</v>
      </c>
      <c r="S91" s="157" t="str">
        <f>RIGHT(Measures_All[[#This Row],[All Valid Measures]],4)</f>
        <v>REBA</v>
      </c>
      <c r="T91" t="s">
        <v>259</v>
      </c>
      <c r="U91" t="s">
        <v>259</v>
      </c>
    </row>
    <row r="92" spans="15:23" x14ac:dyDescent="0.25">
      <c r="O92" s="158" t="s">
        <v>498</v>
      </c>
      <c r="P92" s="158" t="s">
        <v>265</v>
      </c>
      <c r="Q92" s="158"/>
      <c r="R92" s="158" t="str">
        <f>LEFT(Measures_All[[#This Row],[All Valid Measures]],2)</f>
        <v>OT</v>
      </c>
      <c r="S92" s="158" t="str">
        <f>RIGHT(Measures_All[[#This Row],[All Valid Measures]],4)</f>
        <v>REBB</v>
      </c>
      <c r="T92" t="s">
        <v>259</v>
      </c>
      <c r="U92" t="s">
        <v>259</v>
      </c>
    </row>
    <row r="93" spans="15:23" x14ac:dyDescent="0.25">
      <c r="O93" s="158" t="s">
        <v>499</v>
      </c>
      <c r="P93" s="158" t="s">
        <v>265</v>
      </c>
      <c r="Q93" s="158"/>
      <c r="R93" s="158" t="str">
        <f>LEFT(Measures_All[[#This Row],[All Valid Measures]],2)</f>
        <v>PP</v>
      </c>
      <c r="S93" s="158" t="str">
        <f>RIGHT(Measures_All[[#This Row],[All Valid Measures]],4)</f>
        <v>COVE</v>
      </c>
      <c r="T93" t="s">
        <v>25</v>
      </c>
      <c r="U93" t="s">
        <v>259</v>
      </c>
      <c r="W93" s="6" t="s">
        <v>777</v>
      </c>
    </row>
    <row r="94" spans="15:23" x14ac:dyDescent="0.25">
      <c r="O94" s="158" t="s">
        <v>500</v>
      </c>
      <c r="P94" s="158" t="s">
        <v>265</v>
      </c>
      <c r="Q94" s="158"/>
      <c r="R94" s="158" t="str">
        <f>LEFT(Measures_All[[#This Row],[All Valid Measures]],2)</f>
        <v>PP</v>
      </c>
      <c r="S94" s="158" t="str">
        <f>RIGHT(Measures_All[[#This Row],[All Valid Measures]],4)</f>
        <v>COVG</v>
      </c>
      <c r="T94" t="s">
        <v>259</v>
      </c>
      <c r="U94" t="s">
        <v>25</v>
      </c>
      <c r="W94" s="6" t="s">
        <v>781</v>
      </c>
    </row>
    <row r="95" spans="15:23" x14ac:dyDescent="0.25">
      <c r="O95" s="157" t="s">
        <v>501</v>
      </c>
      <c r="R95" s="157" t="str">
        <f>LEFT(Measures_All[[#This Row],[All Valid Measures]],2)</f>
        <v>PP</v>
      </c>
      <c r="S95" s="157" t="str">
        <f>RIGHT(Measures_All[[#This Row],[All Valid Measures]],4)</f>
        <v>MOTR</v>
      </c>
      <c r="T95" t="s">
        <v>25</v>
      </c>
      <c r="U95" t="s">
        <v>259</v>
      </c>
    </row>
    <row r="96" spans="15:23" x14ac:dyDescent="0.25">
      <c r="O96" s="159" t="s">
        <v>502</v>
      </c>
      <c r="P96" s="158" t="s">
        <v>372</v>
      </c>
      <c r="Q96" s="158"/>
      <c r="R96" s="158" t="str">
        <f>LEFT(Measures_All[[#This Row],[All Valid Measures]],2)</f>
        <v>PP</v>
      </c>
      <c r="S96" s="158" t="str">
        <f>RIGHT(Measures_All[[#This Row],[All Valid Measures]],4)</f>
        <v>PMTR</v>
      </c>
      <c r="T96" t="s">
        <v>25</v>
      </c>
      <c r="U96" t="s">
        <v>259</v>
      </c>
    </row>
    <row r="97" spans="15:21" x14ac:dyDescent="0.25">
      <c r="O97" s="159" t="s">
        <v>503</v>
      </c>
      <c r="P97" s="158" t="s">
        <v>372</v>
      </c>
      <c r="Q97" s="158"/>
      <c r="R97" s="158" t="str">
        <f>LEFT(Measures_All[[#This Row],[All Valid Measures]],2)</f>
        <v>PP</v>
      </c>
      <c r="S97" s="158" t="str">
        <f>RIGHT(Measures_All[[#This Row],[All Valid Measures]],4)</f>
        <v>VDRV</v>
      </c>
      <c r="T97" t="s">
        <v>25</v>
      </c>
      <c r="U97" t="s">
        <v>259</v>
      </c>
    </row>
    <row r="98" spans="15:21" x14ac:dyDescent="0.25">
      <c r="O98" s="159" t="s">
        <v>504</v>
      </c>
      <c r="P98" s="158" t="s">
        <v>294</v>
      </c>
      <c r="Q98" s="158"/>
      <c r="R98" s="158" t="str">
        <f>LEFT(Measures_All[[#This Row],[All Valid Measures]],2)</f>
        <v>PP</v>
      </c>
      <c r="S98" s="158" t="str">
        <f>RIGHT(Measures_All[[#This Row],[All Valid Measures]],4)</f>
        <v>VMTR</v>
      </c>
      <c r="T98" t="s">
        <v>25</v>
      </c>
      <c r="U98" t="s">
        <v>259</v>
      </c>
    </row>
    <row r="99" spans="15:21" x14ac:dyDescent="0.25">
      <c r="O99" s="157" t="s">
        <v>505</v>
      </c>
      <c r="R99" s="157" t="str">
        <f>LEFT(Measures_All[[#This Row],[All Valid Measures]],2)</f>
        <v>WH</v>
      </c>
      <c r="S99" s="157" t="str">
        <f>RIGHT(Measures_All[[#This Row],[All Valid Measures]],4)</f>
        <v>ETNK</v>
      </c>
      <c r="T99" t="s">
        <v>25</v>
      </c>
      <c r="U99" t="s">
        <v>259</v>
      </c>
    </row>
    <row r="100" spans="15:21" x14ac:dyDescent="0.25">
      <c r="O100" s="158" t="s">
        <v>506</v>
      </c>
      <c r="P100" s="158" t="s">
        <v>265</v>
      </c>
      <c r="Q100" s="158"/>
      <c r="R100" s="158" t="str">
        <f>LEFT(Measures_All[[#This Row],[All Valid Measures]],2)</f>
        <v>WH</v>
      </c>
      <c r="S100" s="158" t="str">
        <f>RIGHT(Measures_All[[#This Row],[All Valid Measures]],4)</f>
        <v>FAER</v>
      </c>
      <c r="T100" t="s">
        <v>259</v>
      </c>
      <c r="U100" t="s">
        <v>259</v>
      </c>
    </row>
    <row r="101" spans="15:21" x14ac:dyDescent="0.25">
      <c r="O101" s="159" t="s">
        <v>507</v>
      </c>
      <c r="P101" s="158" t="s">
        <v>294</v>
      </c>
      <c r="Q101" s="158"/>
      <c r="R101" s="158" t="str">
        <f>LEFT(Measures_All[[#This Row],[All Valid Measures]],2)</f>
        <v>WH</v>
      </c>
      <c r="S101" s="158" t="str">
        <f>RIGHT(Measures_All[[#This Row],[All Valid Measures]],4)</f>
        <v>FAUE</v>
      </c>
      <c r="T101" t="s">
        <v>259</v>
      </c>
      <c r="U101" t="s">
        <v>259</v>
      </c>
    </row>
    <row r="102" spans="15:21" x14ac:dyDescent="0.25">
      <c r="O102" s="159" t="s">
        <v>508</v>
      </c>
      <c r="P102" s="158" t="s">
        <v>294</v>
      </c>
      <c r="Q102" s="158"/>
      <c r="R102" s="158" t="str">
        <f>LEFT(Measures_All[[#This Row],[All Valid Measures]],2)</f>
        <v>WH</v>
      </c>
      <c r="S102" s="158" t="str">
        <f>RIGHT(Measures_All[[#This Row],[All Valid Measures]],4)</f>
        <v>FAUG</v>
      </c>
      <c r="T102" t="s">
        <v>259</v>
      </c>
      <c r="U102" t="s">
        <v>259</v>
      </c>
    </row>
    <row r="103" spans="15:21" x14ac:dyDescent="0.25">
      <c r="O103" s="159" t="s">
        <v>509</v>
      </c>
      <c r="P103" s="158" t="s">
        <v>372</v>
      </c>
      <c r="Q103" s="158"/>
      <c r="R103" s="158" t="str">
        <f>LEFT(Measures_All[[#This Row],[All Valid Measures]],2)</f>
        <v>WH</v>
      </c>
      <c r="S103" s="158" t="str">
        <f>RIGHT(Measures_All[[#This Row],[All Valid Measures]],4)</f>
        <v>GSLG</v>
      </c>
      <c r="T103" t="s">
        <v>259</v>
      </c>
      <c r="U103" t="s">
        <v>25</v>
      </c>
    </row>
    <row r="104" spans="15:21" x14ac:dyDescent="0.25">
      <c r="O104" s="159" t="s">
        <v>510</v>
      </c>
      <c r="P104" s="158" t="s">
        <v>372</v>
      </c>
      <c r="Q104" s="158"/>
      <c r="R104" s="158" t="str">
        <f>LEFT(Measures_All[[#This Row],[All Valid Measures]],2)</f>
        <v>WH</v>
      </c>
      <c r="S104" s="158" t="str">
        <f>RIGHT(Measures_All[[#This Row],[All Valid Measures]],4)</f>
        <v>GSSM</v>
      </c>
      <c r="T104" t="s">
        <v>259</v>
      </c>
      <c r="U104" t="s">
        <v>25</v>
      </c>
    </row>
    <row r="105" spans="15:21" x14ac:dyDescent="0.25">
      <c r="O105" s="157" t="s">
        <v>511</v>
      </c>
      <c r="R105" s="157" t="str">
        <f>LEFT(Measures_All[[#This Row],[All Valid Measures]],2)</f>
        <v>WH</v>
      </c>
      <c r="S105" s="157" t="str">
        <f>RIGHT(Measures_All[[#This Row],[All Valid Measures]],4)</f>
        <v>GTNK</v>
      </c>
      <c r="T105" t="s">
        <v>259</v>
      </c>
      <c r="U105" t="s">
        <v>25</v>
      </c>
    </row>
    <row r="106" spans="15:21" x14ac:dyDescent="0.25">
      <c r="O106" s="157" t="s">
        <v>512</v>
      </c>
      <c r="R106" s="157" t="str">
        <f>LEFT(Measures_All[[#This Row],[All Valid Measures]],2)</f>
        <v>WH</v>
      </c>
      <c r="S106" s="157" t="str">
        <f>RIGHT(Measures_All[[#This Row],[All Valid Measures]],4)</f>
        <v>HP55</v>
      </c>
      <c r="T106" t="s">
        <v>25</v>
      </c>
      <c r="U106" t="s">
        <v>259</v>
      </c>
    </row>
    <row r="107" spans="15:21" x14ac:dyDescent="0.25">
      <c r="O107" s="158" t="s">
        <v>513</v>
      </c>
      <c r="P107" s="158" t="s">
        <v>265</v>
      </c>
      <c r="Q107" s="158"/>
      <c r="R107" s="158" t="str">
        <f>LEFT(Measures_All[[#This Row],[All Valid Measures]],2)</f>
        <v>WH</v>
      </c>
      <c r="S107" s="158" t="str">
        <f>RIGHT(Measures_All[[#This Row],[All Valid Measures]],4)</f>
        <v>PIPE</v>
      </c>
      <c r="T107" t="s">
        <v>259</v>
      </c>
      <c r="U107" t="s">
        <v>259</v>
      </c>
    </row>
    <row r="108" spans="15:21" x14ac:dyDescent="0.25">
      <c r="O108" s="158" t="s">
        <v>514</v>
      </c>
      <c r="P108" s="158" t="s">
        <v>265</v>
      </c>
      <c r="Q108" s="158"/>
      <c r="R108" s="158" t="str">
        <f>LEFT(Measures_All[[#This Row],[All Valid Measures]],2)</f>
        <v>WH</v>
      </c>
      <c r="S108" s="158" t="str">
        <f>RIGHT(Measures_All[[#This Row],[All Valid Measures]],4)</f>
        <v>SHLF</v>
      </c>
      <c r="T108" t="s">
        <v>259</v>
      </c>
      <c r="U108" t="s">
        <v>259</v>
      </c>
    </row>
    <row r="109" spans="15:21" x14ac:dyDescent="0.25">
      <c r="O109" s="158" t="s">
        <v>515</v>
      </c>
      <c r="P109" s="158" t="s">
        <v>265</v>
      </c>
      <c r="Q109" s="158"/>
      <c r="R109" s="158" t="str">
        <f>LEFT(Measures_All[[#This Row],[All Valid Measures]],2)</f>
        <v>WH</v>
      </c>
      <c r="S109" s="158" t="str">
        <f>RIGHT(Measures_All[[#This Row],[All Valid Measures]],4)</f>
        <v>SHTV</v>
      </c>
      <c r="T109" t="s">
        <v>259</v>
      </c>
      <c r="U109" t="s">
        <v>259</v>
      </c>
    </row>
    <row r="110" spans="15:21" x14ac:dyDescent="0.25">
      <c r="O110" s="159" t="s">
        <v>516</v>
      </c>
      <c r="P110" s="158" t="s">
        <v>294</v>
      </c>
      <c r="Q110" s="158"/>
      <c r="R110" s="158" t="str">
        <f>LEFT(Measures_All[[#This Row],[All Valid Measures]],2)</f>
        <v>WH</v>
      </c>
      <c r="S110" s="158" t="str">
        <f>RIGHT(Measures_All[[#This Row],[All Valid Measures]],4)</f>
        <v>SHWE</v>
      </c>
      <c r="T110" t="s">
        <v>259</v>
      </c>
      <c r="U110" t="s">
        <v>259</v>
      </c>
    </row>
    <row r="111" spans="15:21" x14ac:dyDescent="0.25">
      <c r="O111" s="159" t="s">
        <v>517</v>
      </c>
      <c r="P111" s="158" t="s">
        <v>294</v>
      </c>
      <c r="Q111" s="158"/>
      <c r="R111" s="158" t="str">
        <f>LEFT(Measures_All[[#This Row],[All Valid Measures]],2)</f>
        <v>WH</v>
      </c>
      <c r="S111" s="158" t="str">
        <f>RIGHT(Measures_All[[#This Row],[All Valid Measures]],4)</f>
        <v>SHWG</v>
      </c>
      <c r="T111" t="s">
        <v>259</v>
      </c>
      <c r="U111" t="s">
        <v>259</v>
      </c>
    </row>
    <row r="112" spans="15:21" x14ac:dyDescent="0.25">
      <c r="O112" s="158" t="s">
        <v>518</v>
      </c>
      <c r="P112" s="158" t="s">
        <v>265</v>
      </c>
      <c r="Q112" s="158"/>
      <c r="R112" s="158" t="str">
        <f>LEFT(Measures_All[[#This Row],[All Valid Measures]],2)</f>
        <v>WH</v>
      </c>
      <c r="S112" s="158" t="str">
        <f>RIGHT(Measures_All[[#This Row],[All Valid Measures]],4)</f>
        <v>TINS</v>
      </c>
      <c r="T112" t="s">
        <v>259</v>
      </c>
      <c r="U112" t="s">
        <v>259</v>
      </c>
    </row>
    <row r="113" spans="15:21" x14ac:dyDescent="0.25">
      <c r="O113" s="159" t="s">
        <v>519</v>
      </c>
      <c r="P113" s="158" t="s">
        <v>294</v>
      </c>
      <c r="Q113" s="158"/>
      <c r="R113" s="158" t="str">
        <f>LEFT(Measures_All[[#This Row],[All Valid Measures]],2)</f>
        <v>WH</v>
      </c>
      <c r="S113" s="158" t="str">
        <f>RIGHT(Measures_All[[#This Row],[All Valid Measures]],4)</f>
        <v>VALE</v>
      </c>
      <c r="T113" t="s">
        <v>259</v>
      </c>
      <c r="U113" t="s">
        <v>259</v>
      </c>
    </row>
    <row r="114" spans="15:21" x14ac:dyDescent="0.25">
      <c r="O114" s="159" t="s">
        <v>520</v>
      </c>
      <c r="P114" s="158" t="s">
        <v>294</v>
      </c>
      <c r="Q114" s="158"/>
      <c r="R114" s="158" t="str">
        <f>LEFT(Measures_All[[#This Row],[All Valid Measures]],2)</f>
        <v>WH</v>
      </c>
      <c r="S114" s="158" t="str">
        <f>RIGHT(Measures_All[[#This Row],[All Valid Measures]],4)</f>
        <v>VALG</v>
      </c>
      <c r="T114" t="s">
        <v>259</v>
      </c>
      <c r="U114" t="s">
        <v>259</v>
      </c>
    </row>
    <row r="115" spans="15:21" x14ac:dyDescent="0.25">
      <c r="O115" s="159" t="s">
        <v>521</v>
      </c>
      <c r="P115" s="158" t="s">
        <v>522</v>
      </c>
      <c r="Q115" s="158"/>
      <c r="R115" s="158" t="str">
        <f>LEFT(Measures_All[[#This Row],[All Valid Measures]],2)</f>
        <v>WH</v>
      </c>
      <c r="S115" s="158" t="str">
        <f>RIGHT(Measures_All[[#This Row],[All Valid Measures]],4)</f>
        <v>TKLS</v>
      </c>
      <c r="T115" t="s">
        <v>259</v>
      </c>
      <c r="U115" t="s">
        <v>259</v>
      </c>
    </row>
    <row r="116" spans="15:21" x14ac:dyDescent="0.25">
      <c r="O116" s="158" t="s">
        <v>523</v>
      </c>
      <c r="P116" s="158" t="s">
        <v>363</v>
      </c>
      <c r="Q116" s="158"/>
      <c r="R116" s="158" t="str">
        <f>LEFT(Measures_All[[#This Row],[All Valid Measures]],2)</f>
        <v>WH</v>
      </c>
      <c r="S116" s="158" t="str">
        <f>RIGHT(Measures_All[[#This Row],[All Valid Measures]],4)</f>
        <v>WHEG</v>
      </c>
      <c r="T116" t="s">
        <v>259</v>
      </c>
      <c r="U116" t="s">
        <v>25</v>
      </c>
    </row>
    <row r="117" spans="15:21" x14ac:dyDescent="0.25">
      <c r="O117" s="157" t="s">
        <v>799</v>
      </c>
      <c r="P117" s="158" t="s">
        <v>807</v>
      </c>
      <c r="Q117" s="158"/>
      <c r="R117" s="158" t="str">
        <f>LEFT(Measures_All[[#This Row],[All Valid Measures]],2)</f>
        <v>CE</v>
      </c>
      <c r="S117" s="158" t="str">
        <f>RIGHT(Measures_All[[#This Row],[All Valid Measures]],4)</f>
        <v>SOBT</v>
      </c>
      <c r="T117" t="s">
        <v>25</v>
      </c>
      <c r="U117" t="s">
        <v>259</v>
      </c>
    </row>
    <row r="118" spans="15:21" x14ac:dyDescent="0.25">
      <c r="O118" s="157" t="s">
        <v>798</v>
      </c>
      <c r="P118" s="158" t="s">
        <v>807</v>
      </c>
      <c r="Q118" s="158"/>
      <c r="R118" s="158" t="str">
        <f>LEFT(Measures_All[[#This Row],[All Valid Measures]],2)</f>
        <v>CE</v>
      </c>
      <c r="S118" s="158" t="str">
        <f>RIGHT(Measures_All[[#This Row],[All Valid Measures]],4)</f>
        <v>BATT</v>
      </c>
      <c r="T118" t="s">
        <v>25</v>
      </c>
      <c r="U118" t="s">
        <v>259</v>
      </c>
    </row>
    <row r="119" spans="15:21" x14ac:dyDescent="0.25">
      <c r="O119" s="157" t="s">
        <v>793</v>
      </c>
      <c r="P119" s="158" t="s">
        <v>807</v>
      </c>
      <c r="Q119" s="158"/>
      <c r="R119" s="158" t="str">
        <f>LEFT(Measures_All[[#This Row],[All Valid Measures]],2)</f>
        <v>OT</v>
      </c>
      <c r="S119" s="158" t="str">
        <f>RIGHT(Measures_All[[#This Row],[All Valid Measures]],4)</f>
        <v>SEMS</v>
      </c>
      <c r="T119" t="s">
        <v>259</v>
      </c>
      <c r="U119" t="s">
        <v>259</v>
      </c>
    </row>
    <row r="120" spans="15:21" x14ac:dyDescent="0.25">
      <c r="O120" s="157" t="s">
        <v>778</v>
      </c>
      <c r="P120" s="158" t="s">
        <v>807</v>
      </c>
      <c r="Q120" s="158"/>
      <c r="R120" s="158" t="str">
        <f>LEFT(Measures_All[[#This Row],[All Valid Measures]],2)</f>
        <v>TR</v>
      </c>
      <c r="S120" s="158" t="str">
        <f>RIGHT(Measures_All[[#This Row],[All Valid Measures]],4)</f>
        <v>EVCH</v>
      </c>
      <c r="T120" t="s">
        <v>25</v>
      </c>
      <c r="U120" t="s">
        <v>259</v>
      </c>
    </row>
    <row r="121" spans="15:21" x14ac:dyDescent="0.25">
      <c r="O121" s="157" t="s">
        <v>779</v>
      </c>
      <c r="P121" s="158" t="s">
        <v>807</v>
      </c>
      <c r="Q121" s="158"/>
      <c r="R121" s="158" t="str">
        <f>LEFT(Measures_All[[#This Row],[All Valid Measures]],2)</f>
        <v>WH</v>
      </c>
      <c r="S121" s="158" t="str">
        <f>RIGHT(Measures_All[[#This Row],[All Valid Measures]],4)</f>
        <v>SOWH</v>
      </c>
      <c r="T121" t="s">
        <v>25</v>
      </c>
      <c r="U121" t="s">
        <v>259</v>
      </c>
    </row>
  </sheetData>
  <sheetProtection selectLockedCells="1"/>
  <mergeCells count="6">
    <mergeCell ref="AA38:AA54"/>
    <mergeCell ref="AC1:AD1"/>
    <mergeCell ref="AE1:AF1"/>
    <mergeCell ref="AA1:AB1"/>
    <mergeCell ref="AA2:AA18"/>
    <mergeCell ref="AA20:AA36"/>
  </mergeCells>
  <phoneticPr fontId="44" type="noConversion"/>
  <pageMargins left="0.7" right="0.7" top="0.75" bottom="0.75" header="0.3" footer="0.3"/>
  <pageSetup orientation="portrait" r:id="rId1"/>
  <drawing r:id="rId2"/>
  <tableParts count="4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47E1FAE5F473459BC80B3C622DE0B0" ma:contentTypeVersion="7" ma:contentTypeDescription="Create a new document." ma:contentTypeScope="" ma:versionID="4c89de559f268f7ef5b4f5db1b57c9c6">
  <xsd:schema xmlns:xsd="http://www.w3.org/2001/XMLSchema" xmlns:xs="http://www.w3.org/2001/XMLSchema" xmlns:p="http://schemas.microsoft.com/office/2006/metadata/properties" xmlns:ns2="06ade482-df20-4e7c-80f8-7f7d5c44d54d" targetNamespace="http://schemas.microsoft.com/office/2006/metadata/properties" ma:root="true" ma:fieldsID="3912f622edd230406f3a59c838bd963f" ns2:_="">
    <xsd:import namespace="06ade482-df20-4e7c-80f8-7f7d5c44d5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de482-df20-4e7c-80f8-7f7d5c44d5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337C6-571E-469F-A0E6-3CA3F0231D75}">
  <ds:schemaRefs>
    <ds:schemaRef ds:uri="http://schemas.microsoft.com/sharepoint/v3/contenttype/forms"/>
  </ds:schemaRefs>
</ds:datastoreItem>
</file>

<file path=customXml/itemProps2.xml><?xml version="1.0" encoding="utf-8"?>
<ds:datastoreItem xmlns:ds="http://schemas.openxmlformats.org/officeDocument/2006/customXml" ds:itemID="{48A27AC2-28F6-480E-BAEC-C0A8F22BA4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6ade482-df20-4e7c-80f8-7f7d5c44d54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25F4C01-4D60-411F-B2C9-370399A43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de482-df20-4e7c-80f8-7f7d5c44d5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196</vt:i4>
      </vt:variant>
    </vt:vector>
  </HeadingPairs>
  <TitlesOfParts>
    <vt:vector size="202" baseType="lpstr">
      <vt:lpstr>Instructions &amp; EEMs list</vt:lpstr>
      <vt:lpstr>Itemized Invoice</vt:lpstr>
      <vt:lpstr>Lender's Entry Screen</vt:lpstr>
      <vt:lpstr>Funding Memo</vt:lpstr>
      <vt:lpstr>MS worksheet</vt:lpstr>
      <vt:lpstr>Value Lists and Assumptions</vt:lpstr>
      <vt:lpstr>_START</vt:lpstr>
      <vt:lpstr>AP</vt:lpstr>
      <vt:lpstr>BE</vt:lpstr>
      <vt:lpstr>Big_4_IOUs_VL</vt:lpstr>
      <vt:lpstr>Borrower_Awareness_VL</vt:lpstr>
      <vt:lpstr>Borrower_is_LMI</vt:lpstr>
      <vt:lpstr>Borrower_Motivation_VL</vt:lpstr>
      <vt:lpstr>Building_Type_VL</vt:lpstr>
      <vt:lpstr>CE</vt:lpstr>
      <vt:lpstr>CEC_YES_NO</vt:lpstr>
      <vt:lpstr>CHEEF_Loan_ID</vt:lpstr>
      <vt:lpstr>Claim_Eligible_Principal_Amount</vt:lpstr>
      <vt:lpstr>Claim_Eligible_Ratio</vt:lpstr>
      <vt:lpstr>Contractor_Company</vt:lpstr>
      <vt:lpstr>Contractor_Type_Entry</vt:lpstr>
      <vt:lpstr>Contractor_Type_VL</vt:lpstr>
      <vt:lpstr>Cost_Ratio_CEC</vt:lpstr>
      <vt:lpstr>Cost_Ratio_Electric</vt:lpstr>
      <vt:lpstr>Cost_Ratio_Gas</vt:lpstr>
      <vt:lpstr>Cost_Ratio_IOU</vt:lpstr>
      <vt:lpstr>Cost_Ratio_NonIOU_Electric</vt:lpstr>
      <vt:lpstr>Cost_Ratio_NonIOU_Gas</vt:lpstr>
      <vt:lpstr>Cost_Ratio_Palo_Alto</vt:lpstr>
      <vt:lpstr>Cost_Ratio_POU_Electric</vt:lpstr>
      <vt:lpstr>Cost_Ratio_POU_Gas</vt:lpstr>
      <vt:lpstr>Cost_Ratio_PPP</vt:lpstr>
      <vt:lpstr>Cost_Ratio_SmIOU_Electric</vt:lpstr>
      <vt:lpstr>Cost_Ratio_SmIOU_Gas</vt:lpstr>
      <vt:lpstr>Cost_Ratio_TECH</vt:lpstr>
      <vt:lpstr>Cost_ratio_TECH_Bridge</vt:lpstr>
      <vt:lpstr>CSLB_License_Number</vt:lpstr>
      <vt:lpstr>DR</vt:lpstr>
      <vt:lpstr>DTI_VL</vt:lpstr>
      <vt:lpstr>EEEMs_Category_VL</vt:lpstr>
      <vt:lpstr>EEMs_Cost_1</vt:lpstr>
      <vt:lpstr>EEMs_Cost_10</vt:lpstr>
      <vt:lpstr>EEMs_Cost_2</vt:lpstr>
      <vt:lpstr>EEMs_Cost_3</vt:lpstr>
      <vt:lpstr>EEMs_Cost_4</vt:lpstr>
      <vt:lpstr>EEMs_Cost_5</vt:lpstr>
      <vt:lpstr>EEMs_Cost_6</vt:lpstr>
      <vt:lpstr>EEMs_Cost_7</vt:lpstr>
      <vt:lpstr>EEMs_Cost_8</vt:lpstr>
      <vt:lpstr>EEMs_Cost_9</vt:lpstr>
      <vt:lpstr>EEMs_Fuel_Switch_1</vt:lpstr>
      <vt:lpstr>EEMs_Fuel_Switch_10</vt:lpstr>
      <vt:lpstr>EEMs_Fuel_Switch_2</vt:lpstr>
      <vt:lpstr>EEMs_Fuel_Switch_3</vt:lpstr>
      <vt:lpstr>EEMs_Fuel_Switch_4</vt:lpstr>
      <vt:lpstr>EEMs_Fuel_Switch_5</vt:lpstr>
      <vt:lpstr>EEMs_Fuel_Switch_6</vt:lpstr>
      <vt:lpstr>EEMs_Fuel_Switch_7</vt:lpstr>
      <vt:lpstr>EEMs_Fuel_Switch_8</vt:lpstr>
      <vt:lpstr>EEMs_Fuel_Switch_9</vt:lpstr>
      <vt:lpstr>EEMs_ID_1</vt:lpstr>
      <vt:lpstr>EEMs_ID_10</vt:lpstr>
      <vt:lpstr>EEMs_ID_2</vt:lpstr>
      <vt:lpstr>EEMs_ID_3</vt:lpstr>
      <vt:lpstr>EEMs_ID_4</vt:lpstr>
      <vt:lpstr>EEMs_ID_5</vt:lpstr>
      <vt:lpstr>EEMs_ID_6</vt:lpstr>
      <vt:lpstr>EEMs_ID_7</vt:lpstr>
      <vt:lpstr>EEMs_ID_8</vt:lpstr>
      <vt:lpstr>EEMs_ID_9</vt:lpstr>
      <vt:lpstr>EEMs_Measure_1</vt:lpstr>
      <vt:lpstr>EEMs_Measure_10</vt:lpstr>
      <vt:lpstr>EEMs_Measure_2</vt:lpstr>
      <vt:lpstr>EEMs_Measure_3</vt:lpstr>
      <vt:lpstr>EEMs_Measure_4</vt:lpstr>
      <vt:lpstr>EEMs_Measure_5</vt:lpstr>
      <vt:lpstr>EEMs_Measure_6</vt:lpstr>
      <vt:lpstr>EEMs_Measure_7</vt:lpstr>
      <vt:lpstr>EEMs_Measure_8</vt:lpstr>
      <vt:lpstr>EEMs_Measure_9</vt:lpstr>
      <vt:lpstr>EEMs_Measure_Code_1</vt:lpstr>
      <vt:lpstr>EEMs_Measure_Code_10</vt:lpstr>
      <vt:lpstr>EEMs_Measure_Code_2</vt:lpstr>
      <vt:lpstr>EEMs_Measure_Code_3</vt:lpstr>
      <vt:lpstr>EEMs_Measure_Code_4</vt:lpstr>
      <vt:lpstr>EEMs_Measure_Code_5</vt:lpstr>
      <vt:lpstr>EEMs_Measure_Code_6</vt:lpstr>
      <vt:lpstr>EEMs_Measure_Code_7</vt:lpstr>
      <vt:lpstr>EEMs_Measure_Code_8</vt:lpstr>
      <vt:lpstr>EEMs_Measure_Code_9</vt:lpstr>
      <vt:lpstr>EEMs_Measure_Type_1</vt:lpstr>
      <vt:lpstr>EEMs_Measure_Type_10</vt:lpstr>
      <vt:lpstr>EEMs_Measure_Type_2</vt:lpstr>
      <vt:lpstr>EEMs_Measure_Type_3</vt:lpstr>
      <vt:lpstr>EEMs_Measure_Type_4</vt:lpstr>
      <vt:lpstr>EEMs_Measure_Type_5</vt:lpstr>
      <vt:lpstr>EEMs_Measure_Type_6</vt:lpstr>
      <vt:lpstr>EEMs_Measure_Type_7</vt:lpstr>
      <vt:lpstr>EEMs_Measure_Type_8</vt:lpstr>
      <vt:lpstr>EEMs_Measure_Type_9</vt:lpstr>
      <vt:lpstr>EEMs_Quantity_1</vt:lpstr>
      <vt:lpstr>EEMs_Quantity_10</vt:lpstr>
      <vt:lpstr>EEMs_Quantity_2</vt:lpstr>
      <vt:lpstr>EEMs_Quantity_3</vt:lpstr>
      <vt:lpstr>EEMs_Quantity_4</vt:lpstr>
      <vt:lpstr>EEMs_Quantity_5</vt:lpstr>
      <vt:lpstr>EEMs_Quantity_6</vt:lpstr>
      <vt:lpstr>EEMs_Quantity_7</vt:lpstr>
      <vt:lpstr>EEMs_Quantity_8</vt:lpstr>
      <vt:lpstr>EEMs_Quantity_9</vt:lpstr>
      <vt:lpstr>EEMs_Replacement_1</vt:lpstr>
      <vt:lpstr>EEMs_Replacement_2</vt:lpstr>
      <vt:lpstr>EEMs_Replacement_3</vt:lpstr>
      <vt:lpstr>EEMs_Replacement_4</vt:lpstr>
      <vt:lpstr>EEMs_Replacement_5</vt:lpstr>
      <vt:lpstr>EEMs_Replacement_6</vt:lpstr>
      <vt:lpstr>EEMs_Replacement_7</vt:lpstr>
      <vt:lpstr>EEMs_Replacement_8</vt:lpstr>
      <vt:lpstr>Electric_Utility_Name</vt:lpstr>
      <vt:lpstr>Electric_Utility_Type</vt:lpstr>
      <vt:lpstr>ERD</vt:lpstr>
      <vt:lpstr>Existing_Solar_Yes_No</vt:lpstr>
      <vt:lpstr>FICO_Range_VL</vt:lpstr>
      <vt:lpstr>Fixed_Variable_VL</vt:lpstr>
      <vt:lpstr>Gas_Utility_Name</vt:lpstr>
      <vt:lpstr>Gas_Utility_Type</vt:lpstr>
      <vt:lpstr>HV</vt:lpstr>
      <vt:lpstr>Invoice_Contractor_CSLB</vt:lpstr>
      <vt:lpstr>Invoice_Contractor_Name</vt:lpstr>
      <vt:lpstr>Invoice_Legal_Practical_Cost</vt:lpstr>
      <vt:lpstr>Invoice_Legal_Practical_Description</vt:lpstr>
      <vt:lpstr>Invoice_Other_Home_Improvement_NonDG_Cost</vt:lpstr>
      <vt:lpstr>Invoice_Other_Home_Improvement_NonDG_Desc</vt:lpstr>
      <vt:lpstr>Invoice_Total_Cost</vt:lpstr>
      <vt:lpstr>Invoice_Total_Cost_EEMs_and_Directly_Related</vt:lpstr>
      <vt:lpstr>Invoie_Other_Home_Improvement_NonDG_Desc</vt:lpstr>
      <vt:lpstr>IOU_Electric_VL</vt:lpstr>
      <vt:lpstr>IOU_Gas_VL</vt:lpstr>
      <vt:lpstr>Legal_Practical_Cost</vt:lpstr>
      <vt:lpstr>Legal_Practical_Description</vt:lpstr>
      <vt:lpstr>Lender_Accounts_Names</vt:lpstr>
      <vt:lpstr>Lender_Accounts_Numbers</vt:lpstr>
      <vt:lpstr>Lender_Internal_Loan_ID</vt:lpstr>
      <vt:lpstr>Lender_Program_ID</vt:lpstr>
      <vt:lpstr>Lender_Program_IDs_VL</vt:lpstr>
      <vt:lpstr>LI</vt:lpstr>
      <vt:lpstr>LLR_11_Percent</vt:lpstr>
      <vt:lpstr>LLR_20_Percent</vt:lpstr>
      <vt:lpstr>LLR_5_percent</vt:lpstr>
      <vt:lpstr>LLR_Basis</vt:lpstr>
      <vt:lpstr>LLR_CEC_Amount</vt:lpstr>
      <vt:lpstr>LLR_Contribution_Amount</vt:lpstr>
      <vt:lpstr>LLR_Percent</vt:lpstr>
      <vt:lpstr>LLR_PPP_Amount</vt:lpstr>
      <vt:lpstr>LLR_TECH_Amount</vt:lpstr>
      <vt:lpstr>LLR_TECH_Bridge_Amt</vt:lpstr>
      <vt:lpstr>Loan_Term</vt:lpstr>
      <vt:lpstr>Loan_Type_VL</vt:lpstr>
      <vt:lpstr>Measure_Fuel_VL</vt:lpstr>
      <vt:lpstr>Measures_All_VL</vt:lpstr>
      <vt:lpstr>Number_Units_VL</vt:lpstr>
      <vt:lpstr>Occupancy_VL</vt:lpstr>
      <vt:lpstr>'Funding Memo'!OLE_LINK1</vt:lpstr>
      <vt:lpstr>Original_loan_Amt</vt:lpstr>
      <vt:lpstr>OT</vt:lpstr>
      <vt:lpstr>Other_Home_Improvement_NonDG_Desc</vt:lpstr>
      <vt:lpstr>Palo_Alto_Launch_Date</vt:lpstr>
      <vt:lpstr>Palo_Alto_LRC_Amount</vt:lpstr>
      <vt:lpstr>POUs_VL</vt:lpstr>
      <vt:lpstr>PP</vt:lpstr>
      <vt:lpstr>'Funding Memo'!Print_Area</vt:lpstr>
      <vt:lpstr>'Itemized Invoice'!Print_Area</vt:lpstr>
      <vt:lpstr>Program_ID_Number</vt:lpstr>
      <vt:lpstr>Project_Address_1</vt:lpstr>
      <vt:lpstr>Project_Address_2</vt:lpstr>
      <vt:lpstr>Project_City</vt:lpstr>
      <vt:lpstr>Project_State</vt:lpstr>
      <vt:lpstr>Project_ZIP</vt:lpstr>
      <vt:lpstr>Rebate_Sought</vt:lpstr>
      <vt:lpstr>REEL_Program_Account</vt:lpstr>
      <vt:lpstr>Replacement_New_VL</vt:lpstr>
      <vt:lpstr>Required_EEMs_Percent_VL</vt:lpstr>
      <vt:lpstr>Secured_Unsecured_VL</vt:lpstr>
      <vt:lpstr>Small_IOUs_VL</vt:lpstr>
      <vt:lpstr>TECH_Launch_Date</vt:lpstr>
      <vt:lpstr>TECH_Yes_No</vt:lpstr>
      <vt:lpstr>Time_In_Home_VL</vt:lpstr>
      <vt:lpstr>Total_Cost_EEMs_and_Directly_Related</vt:lpstr>
      <vt:lpstr>Total_Cost_Legal_Practical</vt:lpstr>
      <vt:lpstr>Total_Cost_Other_Home_Improvement_NonDG</vt:lpstr>
      <vt:lpstr>Total_Invoice_Cost</vt:lpstr>
      <vt:lpstr>Total_Loan_Principal_Amount</vt:lpstr>
      <vt:lpstr>Total_Project_Cost</vt:lpstr>
      <vt:lpstr>TR</vt:lpstr>
      <vt:lpstr>Underserved_Entry</vt:lpstr>
      <vt:lpstr>Underserved_VL</vt:lpstr>
      <vt:lpstr>Utility_Providing_Rebate_VL</vt:lpstr>
      <vt:lpstr>Utility_Type_Electric_VL</vt:lpstr>
      <vt:lpstr>Utility_Type_Gas_VL</vt:lpstr>
      <vt:lpstr>WH</vt:lpstr>
      <vt:lpstr>Yes_No_VL</vt:lpstr>
      <vt:lpstr>Yes_NR_VL</vt:lpstr>
    </vt:vector>
  </TitlesOfParts>
  <Manager/>
  <Company>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Joffe-Block, Miriam</dc:creator>
  <cp:keywords/>
  <dc:description/>
  <cp:lastModifiedBy>Cortez, Kristi</cp:lastModifiedBy>
  <cp:revision/>
  <cp:lastPrinted>2024-05-02T15:57:08Z</cp:lastPrinted>
  <dcterms:created xsi:type="dcterms:W3CDTF">2015-09-18T16:41:20Z</dcterms:created>
  <dcterms:modified xsi:type="dcterms:W3CDTF">2024-07-26T18:59:49Z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0x0101003847E1FAE5F473459BC80B3C622DE0B0</vt:lpwstr>
  </property>
</Properties>
</file>